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OMPARTILHADA NOVA\PASTA DE TRABALHO\EVS_Estação Villa Siqueira\DT_Documentos de Trabalho\OR_Orçamento\"/>
    </mc:Choice>
  </mc:AlternateContent>
  <xr:revisionPtr revIDLastSave="0" documentId="13_ncr:1_{49DB0FE5-1C2F-45FD-9C1A-2411D03FCB60}" xr6:coauthVersionLast="34" xr6:coauthVersionMax="34" xr10:uidLastSave="{00000000-0000-0000-0000-000000000000}"/>
  <bookViews>
    <workbookView xWindow="0" yWindow="0" windowWidth="19200" windowHeight="11385" activeTab="1" xr2:uid="{00000000-000D-0000-FFFF-FFFF00000000}"/>
  </bookViews>
  <sheets>
    <sheet name="memória de cálculo" sheetId="1" r:id="rId1"/>
    <sheet name="Orçamento" sheetId="2" r:id="rId2"/>
    <sheet name="cronograma" sheetId="7" r:id="rId3"/>
    <sheet name="composição propria" sheetId="4" r:id="rId4"/>
    <sheet name="cotação de preço" sheetId="5" r:id="rId5"/>
    <sheet name="composição BDI" sheetId="8" r:id="rId6"/>
    <sheet name="leis sociais" sheetId="9" r:id="rId7"/>
  </sheets>
  <externalReferences>
    <externalReference r:id="rId8"/>
    <externalReference r:id="rId9"/>
    <externalReference r:id="rId10"/>
  </externalReferences>
  <definedNames>
    <definedName name="_xlnm.Print_Area" localSheetId="1">Orçamento!$A$1:$K$74</definedName>
    <definedName name="_xlnm.Print_Titles" localSheetId="1">Orçamento!$5:$7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7" l="1"/>
  <c r="F19" i="7"/>
  <c r="E21" i="7"/>
  <c r="I22" i="7"/>
  <c r="J22" i="7"/>
  <c r="K22" i="7"/>
  <c r="H22" i="7"/>
  <c r="K19" i="7"/>
  <c r="J19" i="7"/>
  <c r="I19" i="7"/>
  <c r="H19" i="7"/>
  <c r="C19" i="7"/>
  <c r="D19" i="7" s="1"/>
  <c r="E19" i="7" s="1"/>
  <c r="G66" i="4" l="1"/>
  <c r="F39" i="2" s="1"/>
  <c r="H65" i="4"/>
  <c r="H64" i="4"/>
  <c r="G63" i="4"/>
  <c r="H66" i="4" l="1"/>
  <c r="G39" i="2" s="1"/>
  <c r="I66" i="4"/>
  <c r="H87" i="4" l="1"/>
  <c r="H88" i="4"/>
  <c r="H86" i="4" l="1"/>
  <c r="H89" i="4" s="1"/>
  <c r="G42" i="2" s="1"/>
  <c r="J42" i="2" s="1"/>
  <c r="G85" i="4"/>
  <c r="G89" i="4" s="1"/>
  <c r="F42" i="2" s="1"/>
  <c r="D42" i="2"/>
  <c r="N143" i="1"/>
  <c r="N142" i="1"/>
  <c r="N141" i="1"/>
  <c r="N140" i="1"/>
  <c r="N144" i="1" s="1"/>
  <c r="I42" i="2" l="1"/>
  <c r="H42" i="2"/>
  <c r="K42" i="2" s="1"/>
  <c r="I89" i="4"/>
  <c r="N88" i="1"/>
  <c r="N121" i="1"/>
  <c r="G56" i="4"/>
  <c r="H56" i="4"/>
  <c r="G60" i="4"/>
  <c r="N243" i="1" l="1"/>
  <c r="D69" i="2" s="1"/>
  <c r="G69" i="2"/>
  <c r="H69" i="2" s="1"/>
  <c r="H68" i="2"/>
  <c r="N239" i="1"/>
  <c r="D68" i="2" s="1"/>
  <c r="N238" i="1"/>
  <c r="G68" i="2"/>
  <c r="I69" i="2" l="1"/>
  <c r="J69" i="2"/>
  <c r="K69" i="2"/>
  <c r="I68" i="2"/>
  <c r="K68" i="2"/>
  <c r="J68" i="2"/>
  <c r="F146" i="1"/>
  <c r="K70" i="2" l="1"/>
  <c r="J70" i="2"/>
  <c r="I70" i="2"/>
  <c r="G47" i="2"/>
  <c r="J47" i="2" s="1"/>
  <c r="F47" i="2"/>
  <c r="H47" i="2" l="1"/>
  <c r="K47" i="2" s="1"/>
  <c r="I47" i="2"/>
  <c r="I11" i="8"/>
  <c r="I19" i="8"/>
  <c r="I27" i="8"/>
  <c r="G99" i="4" l="1"/>
  <c r="G102" i="4" s="1"/>
  <c r="C18" i="9" l="1"/>
  <c r="D18" i="9"/>
  <c r="E18" i="9"/>
  <c r="F18" i="9"/>
  <c r="C31" i="9"/>
  <c r="D31" i="9"/>
  <c r="E31" i="9"/>
  <c r="F31" i="9"/>
  <c r="F47" i="9" s="1"/>
  <c r="C39" i="9"/>
  <c r="D39" i="9"/>
  <c r="E39" i="9"/>
  <c r="F39" i="9"/>
  <c r="C44" i="9"/>
  <c r="D44" i="9"/>
  <c r="E44" i="9"/>
  <c r="F44" i="9"/>
  <c r="C47" i="9"/>
  <c r="D47" i="9"/>
  <c r="E47" i="9"/>
  <c r="I31" i="8"/>
  <c r="N234" i="1" l="1"/>
  <c r="N212" i="1"/>
  <c r="N203" i="1"/>
  <c r="N195" i="1"/>
  <c r="N187" i="1"/>
  <c r="N173" i="1"/>
  <c r="N166" i="1"/>
  <c r="N230" i="1"/>
  <c r="D63" i="2" s="1"/>
  <c r="N221" i="1"/>
  <c r="D62" i="2" s="1"/>
  <c r="N217" i="1"/>
  <c r="D61" i="2" s="1"/>
  <c r="G147" i="4"/>
  <c r="F64" i="2" s="1"/>
  <c r="I64" i="2" s="1"/>
  <c r="H146" i="4"/>
  <c r="H147" i="4" s="1"/>
  <c r="G64" i="2" s="1"/>
  <c r="J64" i="2" s="1"/>
  <c r="H145" i="4"/>
  <c r="G144" i="4"/>
  <c r="H138" i="4"/>
  <c r="H137" i="4"/>
  <c r="G129" i="4"/>
  <c r="G130" i="4"/>
  <c r="G128" i="4"/>
  <c r="H133" i="4"/>
  <c r="H132" i="4"/>
  <c r="G131" i="4"/>
  <c r="G63" i="2"/>
  <c r="F63" i="2"/>
  <c r="I63" i="2" s="1"/>
  <c r="J63" i="2" l="1"/>
  <c r="H134" i="4"/>
  <c r="G61" i="2" s="1"/>
  <c r="J61" i="2" s="1"/>
  <c r="I62" i="2"/>
  <c r="H64" i="2"/>
  <c r="H139" i="4"/>
  <c r="I147" i="4"/>
  <c r="G134" i="4"/>
  <c r="I134" i="4" s="1"/>
  <c r="F114" i="1"/>
  <c r="N115" i="1" s="1"/>
  <c r="D38" i="2" s="1"/>
  <c r="K64" i="2" l="1"/>
  <c r="I139" i="4"/>
  <c r="G62" i="2"/>
  <c r="J62" i="2" s="1"/>
  <c r="J65" i="2" s="1"/>
  <c r="F61" i="2"/>
  <c r="I61" i="2" s="1"/>
  <c r="I65" i="2" s="1"/>
  <c r="G57" i="2"/>
  <c r="F57" i="2"/>
  <c r="G56" i="2"/>
  <c r="F56" i="2"/>
  <c r="D55" i="2"/>
  <c r="D57" i="2"/>
  <c r="D56" i="2"/>
  <c r="D54" i="2"/>
  <c r="H124" i="4"/>
  <c r="H125" i="4" s="1"/>
  <c r="G54" i="2" s="1"/>
  <c r="G123" i="4"/>
  <c r="G125" i="4" s="1"/>
  <c r="D52" i="2"/>
  <c r="H118" i="4"/>
  <c r="H117" i="4"/>
  <c r="H116" i="4"/>
  <c r="G116" i="4"/>
  <c r="G120" i="4" s="1"/>
  <c r="F53" i="2" s="1"/>
  <c r="N177" i="1"/>
  <c r="D53" i="2" s="1"/>
  <c r="H111" i="4"/>
  <c r="H110" i="4"/>
  <c r="H109" i="4"/>
  <c r="G109" i="4"/>
  <c r="G113" i="4" s="1"/>
  <c r="F52" i="2" s="1"/>
  <c r="D51" i="2"/>
  <c r="H105" i="4"/>
  <c r="N154" i="1"/>
  <c r="N155" i="1" s="1"/>
  <c r="D46" i="2" s="1"/>
  <c r="F46" i="2"/>
  <c r="H101" i="4"/>
  <c r="H100" i="4"/>
  <c r="F150" i="1"/>
  <c r="N151" i="1" s="1"/>
  <c r="D45" i="2" s="1"/>
  <c r="G45" i="2"/>
  <c r="F45" i="2"/>
  <c r="N147" i="1"/>
  <c r="D44" i="2" s="1"/>
  <c r="G44" i="2"/>
  <c r="F44" i="2"/>
  <c r="F92" i="4"/>
  <c r="G92" i="4" s="1"/>
  <c r="G95" i="4" s="1"/>
  <c r="H94" i="4"/>
  <c r="H93" i="4"/>
  <c r="N137" i="1"/>
  <c r="N136" i="1"/>
  <c r="N135" i="1"/>
  <c r="N134" i="1"/>
  <c r="N131" i="1"/>
  <c r="N130" i="1"/>
  <c r="N129" i="1"/>
  <c r="N128" i="1"/>
  <c r="H80" i="4"/>
  <c r="H81" i="4"/>
  <c r="G77" i="4"/>
  <c r="G75" i="4"/>
  <c r="H78" i="4"/>
  <c r="H79" i="4"/>
  <c r="I46" i="2" l="1"/>
  <c r="J45" i="2"/>
  <c r="I45" i="2"/>
  <c r="I52" i="2"/>
  <c r="J56" i="2"/>
  <c r="I56" i="2"/>
  <c r="J44" i="2"/>
  <c r="I44" i="2"/>
  <c r="J57" i="2"/>
  <c r="I57" i="2"/>
  <c r="I51" i="2"/>
  <c r="J55" i="2"/>
  <c r="I55" i="2"/>
  <c r="I53" i="2"/>
  <c r="J54" i="2"/>
  <c r="H102" i="4"/>
  <c r="G46" i="2" s="1"/>
  <c r="H46" i="2" s="1"/>
  <c r="K46" i="2" s="1"/>
  <c r="I125" i="4"/>
  <c r="H95" i="4"/>
  <c r="G43" i="2" s="1"/>
  <c r="F54" i="2"/>
  <c r="I54" i="2" s="1"/>
  <c r="H45" i="2"/>
  <c r="K45" i="2" s="1"/>
  <c r="H106" i="4"/>
  <c r="G51" i="2" s="1"/>
  <c r="J51" i="2" s="1"/>
  <c r="H44" i="2"/>
  <c r="K44" i="2" s="1"/>
  <c r="N132" i="1"/>
  <c r="D41" i="2" s="1"/>
  <c r="N138" i="1"/>
  <c r="D43" i="2" s="1"/>
  <c r="F43" i="2"/>
  <c r="H82" i="4"/>
  <c r="G41" i="2" s="1"/>
  <c r="F69" i="4"/>
  <c r="H69" i="4" s="1"/>
  <c r="H71" i="4"/>
  <c r="H70" i="4"/>
  <c r="N125" i="1"/>
  <c r="D40" i="2" s="1"/>
  <c r="D39" i="2"/>
  <c r="G38" i="2"/>
  <c r="J38" i="2" s="1"/>
  <c r="F38" i="2"/>
  <c r="I38" i="2" s="1"/>
  <c r="G37" i="2"/>
  <c r="F37" i="2"/>
  <c r="N112" i="1"/>
  <c r="D37" i="2" s="1"/>
  <c r="H59" i="4"/>
  <c r="H58" i="4"/>
  <c r="H57" i="4"/>
  <c r="F36" i="2"/>
  <c r="N108" i="1"/>
  <c r="D36" i="2" s="1"/>
  <c r="G35" i="2"/>
  <c r="F35" i="2"/>
  <c r="N104" i="1"/>
  <c r="D35" i="2" s="1"/>
  <c r="J46" i="2" l="1"/>
  <c r="J39" i="2"/>
  <c r="I39" i="2"/>
  <c r="I58" i="2"/>
  <c r="I36" i="2"/>
  <c r="J43" i="2"/>
  <c r="I43" i="2"/>
  <c r="J35" i="2"/>
  <c r="I35" i="2"/>
  <c r="J41" i="2"/>
  <c r="J37" i="2"/>
  <c r="I37" i="2"/>
  <c r="H43" i="2"/>
  <c r="K43" i="2" s="1"/>
  <c r="I95" i="4"/>
  <c r="I102" i="4"/>
  <c r="H72" i="4"/>
  <c r="G40" i="2" s="1"/>
  <c r="J40" i="2" s="1"/>
  <c r="H39" i="2"/>
  <c r="K39" i="2" s="1"/>
  <c r="G69" i="4"/>
  <c r="G72" i="4" s="1"/>
  <c r="F40" i="2" s="1"/>
  <c r="I40" i="2" s="1"/>
  <c r="H35" i="2"/>
  <c r="K35" i="2" s="1"/>
  <c r="H60" i="4"/>
  <c r="H52" i="4"/>
  <c r="H51" i="4"/>
  <c r="H50" i="4"/>
  <c r="H49" i="4"/>
  <c r="G49" i="4"/>
  <c r="G53" i="4" s="1"/>
  <c r="F34" i="2" s="1"/>
  <c r="F99" i="1"/>
  <c r="N100" i="1" s="1"/>
  <c r="D34" i="2" s="1"/>
  <c r="N96" i="1"/>
  <c r="D33" i="2" s="1"/>
  <c r="N93" i="1"/>
  <c r="D32" i="2" s="1"/>
  <c r="D28" i="2"/>
  <c r="F77" i="1"/>
  <c r="N79" i="1" s="1"/>
  <c r="D27" i="2" s="1"/>
  <c r="F73" i="1"/>
  <c r="F72" i="1"/>
  <c r="N69" i="1"/>
  <c r="D25" i="2" s="1"/>
  <c r="N64" i="1"/>
  <c r="N63" i="1"/>
  <c r="N62" i="1"/>
  <c r="N61" i="1"/>
  <c r="N56" i="1"/>
  <c r="N57" i="1"/>
  <c r="N58" i="1"/>
  <c r="N55" i="1"/>
  <c r="H39" i="4"/>
  <c r="H38" i="4"/>
  <c r="H36" i="4"/>
  <c r="G36" i="4"/>
  <c r="G40" i="4" s="1"/>
  <c r="F32" i="2" s="1"/>
  <c r="G44" i="4"/>
  <c r="H43" i="4"/>
  <c r="H46" i="4" s="1"/>
  <c r="G33" i="2" s="1"/>
  <c r="G43" i="4"/>
  <c r="H32" i="4"/>
  <c r="H33" i="4" s="1"/>
  <c r="I33" i="4" s="1"/>
  <c r="H28" i="4"/>
  <c r="H29" i="4" s="1"/>
  <c r="I29" i="4" s="1"/>
  <c r="H24" i="4"/>
  <c r="H25" i="4" s="1"/>
  <c r="I25" i="4" s="1"/>
  <c r="I32" i="2" l="1"/>
  <c r="J33" i="2"/>
  <c r="I27" i="2"/>
  <c r="I34" i="2"/>
  <c r="J25" i="2"/>
  <c r="I25" i="2"/>
  <c r="I28" i="2"/>
  <c r="H112" i="4"/>
  <c r="H113" i="4" s="1"/>
  <c r="H119" i="4"/>
  <c r="H120" i="4" s="1"/>
  <c r="I72" i="4"/>
  <c r="H37" i="4"/>
  <c r="H40" i="4" s="1"/>
  <c r="G32" i="2" s="1"/>
  <c r="H32" i="2" s="1"/>
  <c r="I60" i="4"/>
  <c r="G36" i="2"/>
  <c r="G27" i="2"/>
  <c r="H27" i="2" s="1"/>
  <c r="G26" i="2"/>
  <c r="H26" i="2" s="1"/>
  <c r="G28" i="2"/>
  <c r="H28" i="2" s="1"/>
  <c r="H53" i="4"/>
  <c r="G34" i="2" s="1"/>
  <c r="H34" i="2" s="1"/>
  <c r="K34" i="2" s="1"/>
  <c r="N74" i="1"/>
  <c r="D26" i="2" s="1"/>
  <c r="N59" i="1"/>
  <c r="D23" i="2" s="1"/>
  <c r="N65" i="1"/>
  <c r="D47" i="1"/>
  <c r="D46" i="1"/>
  <c r="N44" i="1"/>
  <c r="D19" i="2" s="1"/>
  <c r="J19" i="2" s="1"/>
  <c r="N40" i="1"/>
  <c r="D18" i="2" s="1"/>
  <c r="J18" i="2" s="1"/>
  <c r="N34" i="1"/>
  <c r="G14" i="2"/>
  <c r="F14" i="2"/>
  <c r="N23" i="1"/>
  <c r="D12" i="2" s="1"/>
  <c r="G11" i="2"/>
  <c r="G10" i="2"/>
  <c r="F10" i="2"/>
  <c r="N14" i="1"/>
  <c r="D10" i="2" s="1"/>
  <c r="G9" i="2"/>
  <c r="F9" i="2"/>
  <c r="N6" i="1"/>
  <c r="D8" i="2" s="1"/>
  <c r="N29" i="1"/>
  <c r="D14" i="2" s="1"/>
  <c r="N26" i="1"/>
  <c r="D13" i="2" s="1"/>
  <c r="N20" i="1"/>
  <c r="F17" i="1"/>
  <c r="N17" i="1" s="1"/>
  <c r="N11" i="1"/>
  <c r="D9" i="2" s="1"/>
  <c r="H18" i="2"/>
  <c r="H19" i="2"/>
  <c r="H8" i="2"/>
  <c r="H23" i="2"/>
  <c r="H25" i="2"/>
  <c r="H37" i="2"/>
  <c r="H38" i="2"/>
  <c r="H40" i="2"/>
  <c r="H51" i="2"/>
  <c r="H54" i="2"/>
  <c r="H55" i="2"/>
  <c r="H56" i="2"/>
  <c r="H57" i="2"/>
  <c r="H61" i="2"/>
  <c r="H62" i="2"/>
  <c r="H63" i="2"/>
  <c r="J11" i="2" l="1"/>
  <c r="J32" i="2"/>
  <c r="J27" i="2"/>
  <c r="J9" i="2"/>
  <c r="J10" i="2"/>
  <c r="J14" i="2"/>
  <c r="I14" i="2"/>
  <c r="H36" i="2"/>
  <c r="K36" i="2" s="1"/>
  <c r="J36" i="2"/>
  <c r="J23" i="2"/>
  <c r="I23" i="2"/>
  <c r="J26" i="2"/>
  <c r="I26" i="2"/>
  <c r="J28" i="2"/>
  <c r="J34" i="2"/>
  <c r="K63" i="2"/>
  <c r="K57" i="2"/>
  <c r="K51" i="2"/>
  <c r="I9" i="2"/>
  <c r="I10" i="2"/>
  <c r="I12" i="2"/>
  <c r="K62" i="2"/>
  <c r="K56" i="2"/>
  <c r="K40" i="2"/>
  <c r="I8" i="2"/>
  <c r="J8" i="2"/>
  <c r="K8" i="2"/>
  <c r="I18" i="2"/>
  <c r="K61" i="2"/>
  <c r="K38" i="2"/>
  <c r="I19" i="2"/>
  <c r="D24" i="2"/>
  <c r="K37" i="2"/>
  <c r="G53" i="2"/>
  <c r="I120" i="4"/>
  <c r="I113" i="4"/>
  <c r="G52" i="2"/>
  <c r="I53" i="4"/>
  <c r="K32" i="2"/>
  <c r="D49" i="1"/>
  <c r="N51" i="1" s="1"/>
  <c r="K19" i="2"/>
  <c r="I40" i="4"/>
  <c r="H10" i="2"/>
  <c r="K18" i="2"/>
  <c r="H14" i="2"/>
  <c r="K14" i="2" s="1"/>
  <c r="H9" i="2"/>
  <c r="K9" i="2" s="1"/>
  <c r="J48" i="2" l="1"/>
  <c r="K20" i="2"/>
  <c r="C9" i="7" s="1"/>
  <c r="D9" i="7" s="1"/>
  <c r="H53" i="2"/>
  <c r="J53" i="2"/>
  <c r="J24" i="2"/>
  <c r="J29" i="2" s="1"/>
  <c r="I24" i="2"/>
  <c r="I29" i="2" s="1"/>
  <c r="H52" i="2"/>
  <c r="K52" i="2" s="1"/>
  <c r="J52" i="2"/>
  <c r="J58" i="2" s="1"/>
  <c r="K65" i="2"/>
  <c r="K10" i="2"/>
  <c r="K53" i="2"/>
  <c r="J20" i="2"/>
  <c r="I20" i="2"/>
  <c r="F11" i="2"/>
  <c r="C17" i="7" l="1"/>
  <c r="D17" i="7" s="1"/>
  <c r="E9" i="7"/>
  <c r="H11" i="2"/>
  <c r="I11" i="2"/>
  <c r="S5" i="5"/>
  <c r="F76" i="4" s="1"/>
  <c r="G76" i="4" s="1"/>
  <c r="G82" i="4" s="1"/>
  <c r="S3" i="5"/>
  <c r="F45" i="4" s="1"/>
  <c r="G45" i="4" s="1"/>
  <c r="G46" i="4" s="1"/>
  <c r="H7" i="4"/>
  <c r="G11" i="4"/>
  <c r="G12" i="4"/>
  <c r="G13" i="4"/>
  <c r="G14" i="4"/>
  <c r="G15" i="4"/>
  <c r="G16" i="4"/>
  <c r="G17" i="4"/>
  <c r="G18" i="4"/>
  <c r="H19" i="4"/>
  <c r="H20" i="4"/>
  <c r="E17" i="7" l="1"/>
  <c r="L17" i="7" s="1"/>
  <c r="L18" i="7" s="1"/>
  <c r="L9" i="7"/>
  <c r="H9" i="7"/>
  <c r="K9" i="7"/>
  <c r="G9" i="7"/>
  <c r="G10" i="7" s="1"/>
  <c r="J9" i="7"/>
  <c r="I9" i="7"/>
  <c r="K11" i="2"/>
  <c r="F33" i="2"/>
  <c r="I33" i="2" s="1"/>
  <c r="I46" i="4"/>
  <c r="I82" i="4"/>
  <c r="F41" i="2"/>
  <c r="I41" i="2" s="1"/>
  <c r="H21" i="4"/>
  <c r="G13" i="2" s="1"/>
  <c r="J13" i="2" s="1"/>
  <c r="G21" i="4"/>
  <c r="H8" i="4"/>
  <c r="G12" i="2" s="1"/>
  <c r="I48" i="2" l="1"/>
  <c r="K17" i="7"/>
  <c r="K18" i="7" s="1"/>
  <c r="L10" i="7"/>
  <c r="K10" i="7"/>
  <c r="I10" i="7"/>
  <c r="J10" i="7"/>
  <c r="H10" i="7"/>
  <c r="H12" i="2"/>
  <c r="K12" i="2" s="1"/>
  <c r="J12" i="2"/>
  <c r="H33" i="2"/>
  <c r="H41" i="2"/>
  <c r="F13" i="2"/>
  <c r="I21" i="4"/>
  <c r="K55" i="2"/>
  <c r="K41" i="2" l="1"/>
  <c r="H13" i="2"/>
  <c r="I13" i="2"/>
  <c r="I15" i="2" s="1"/>
  <c r="K54" i="2"/>
  <c r="K58" i="2" s="1"/>
  <c r="C15" i="7" s="1"/>
  <c r="D15" i="7" s="1"/>
  <c r="K26" i="2"/>
  <c r="K25" i="2"/>
  <c r="K24" i="2"/>
  <c r="E15" i="7" l="1"/>
  <c r="K13" i="2"/>
  <c r="J15" i="2"/>
  <c r="K27" i="2"/>
  <c r="K23" i="2"/>
  <c r="K28" i="2"/>
  <c r="K33" i="2"/>
  <c r="K15" i="7" l="1"/>
  <c r="K16" i="7" s="1"/>
  <c r="L15" i="7"/>
  <c r="K15" i="2"/>
  <c r="K29" i="2"/>
  <c r="C11" i="7" s="1"/>
  <c r="D11" i="7" s="1"/>
  <c r="K48" i="2"/>
  <c r="C13" i="7" s="1"/>
  <c r="D13" i="7" s="1"/>
  <c r="K72" i="2" l="1"/>
  <c r="K73" i="2" s="1"/>
  <c r="K74" i="2" s="1"/>
  <c r="C7" i="7"/>
  <c r="D7" i="7" s="1"/>
  <c r="L16" i="7"/>
  <c r="L22" i="7"/>
  <c r="E13" i="7"/>
  <c r="E11" i="7"/>
  <c r="D21" i="7" l="1"/>
  <c r="C21" i="7"/>
  <c r="H11" i="7"/>
  <c r="G11" i="7"/>
  <c r="G12" i="7" s="1"/>
  <c r="J13" i="7"/>
  <c r="I13" i="7"/>
  <c r="K13" i="7"/>
  <c r="E7" i="7" l="1"/>
  <c r="K14" i="7"/>
  <c r="J14" i="7"/>
  <c r="I14" i="7"/>
  <c r="H12" i="7"/>
  <c r="G7" i="7" l="1"/>
  <c r="F7" i="7" l="1"/>
  <c r="F13" i="7"/>
  <c r="F9" i="7"/>
  <c r="F17" i="7"/>
  <c r="F11" i="7"/>
  <c r="F15" i="7"/>
  <c r="G8" i="7"/>
  <c r="G22" i="7"/>
  <c r="G23" i="7" s="1"/>
  <c r="H23" i="7" s="1"/>
  <c r="I23" i="7" s="1"/>
  <c r="J23" i="7" s="1"/>
  <c r="K23" i="7" s="1"/>
  <c r="L23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REJANE</author>
  </authors>
  <commentList>
    <comment ref="D14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REJANE:</t>
        </r>
        <r>
          <rPr>
            <sz val="9"/>
            <color indexed="81"/>
            <rFont val="Segoe UI"/>
            <family val="2"/>
          </rPr>
          <t xml:space="preserve">
dois lados </t>
        </r>
      </text>
    </comment>
  </commentList>
</comments>
</file>

<file path=xl/sharedStrings.xml><?xml version="1.0" encoding="utf-8"?>
<sst xmlns="http://schemas.openxmlformats.org/spreadsheetml/2006/main" count="985" uniqueCount="452">
  <si>
    <t>unidade</t>
  </si>
  <si>
    <t>quant.</t>
  </si>
  <si>
    <t>área</t>
  </si>
  <si>
    <t>comprim.</t>
  </si>
  <si>
    <t>altura</t>
  </si>
  <si>
    <t>largura</t>
  </si>
  <si>
    <t>perímetro</t>
  </si>
  <si>
    <t>espessura</t>
  </si>
  <si>
    <t>profund.</t>
  </si>
  <si>
    <t>desconto</t>
  </si>
  <si>
    <t>Fator correção (reapr.)</t>
  </si>
  <si>
    <t>total</t>
  </si>
  <si>
    <t>m²</t>
  </si>
  <si>
    <t>Remoção da estrutura em madeira</t>
  </si>
  <si>
    <t>Recuperação da estrutura metálica: lixamento, aplicação de fundo convertedor de ferrugem, pintura com tinta esmalte</t>
  </si>
  <si>
    <t>unid</t>
  </si>
  <si>
    <t>m</t>
  </si>
  <si>
    <t>Remoção das telhas cerâmicas</t>
  </si>
  <si>
    <t>Limpeza, classificação e armazenagem das telhas</t>
  </si>
  <si>
    <t>Remoção das calhas e rufos</t>
  </si>
  <si>
    <t>Remoção do beiral em madeira</t>
  </si>
  <si>
    <t>m³</t>
  </si>
  <si>
    <t>Execução de beiral em madeira</t>
  </si>
  <si>
    <t>Imunização por pulverização dos elementos em madeira</t>
  </si>
  <si>
    <t>Aplicação de resina acrilica fosco – telhas cerâmicas</t>
  </si>
  <si>
    <t>Limpeza, classificação e armazenagem das peças</t>
  </si>
  <si>
    <t>Execução de lixamento e preparação para pintura</t>
  </si>
  <si>
    <t>Execução de imunização da madeira</t>
  </si>
  <si>
    <t>Aplicação de fundo para madeira</t>
  </si>
  <si>
    <t>Execução de pintura em esmalte sintético acetinado</t>
  </si>
  <si>
    <t>Execução de novas peças em madeira nas partes faltantes, conforme original</t>
  </si>
  <si>
    <t>MEMÓRIA DE CÁLCULO VILLA SIQUEIRA</t>
  </si>
  <si>
    <t>ORÇAMENTO DA OBRA</t>
  </si>
  <si>
    <t>valor unitário</t>
  </si>
  <si>
    <t>item</t>
  </si>
  <si>
    <t>discriminação do Item</t>
  </si>
  <si>
    <t>unid.</t>
  </si>
  <si>
    <t>material</t>
  </si>
  <si>
    <t>total unitário</t>
  </si>
  <si>
    <t>1.</t>
  </si>
  <si>
    <t>Demolições e retiradas</t>
  </si>
  <si>
    <t>1.1</t>
  </si>
  <si>
    <t>1.2</t>
  </si>
  <si>
    <t>1.3</t>
  </si>
  <si>
    <t>1.4</t>
  </si>
  <si>
    <t>1.5</t>
  </si>
  <si>
    <t>1.6</t>
  </si>
  <si>
    <t>1.7</t>
  </si>
  <si>
    <t>2.</t>
  </si>
  <si>
    <t xml:space="preserve">Cobertura </t>
  </si>
  <si>
    <t>2.2</t>
  </si>
  <si>
    <t>2.3</t>
  </si>
  <si>
    <t>2.4</t>
  </si>
  <si>
    <t>3.</t>
  </si>
  <si>
    <t>3.1</t>
  </si>
  <si>
    <t>3.2</t>
  </si>
  <si>
    <t>3.3</t>
  </si>
  <si>
    <t>4.</t>
  </si>
  <si>
    <t>4.1</t>
  </si>
  <si>
    <t>4.2</t>
  </si>
  <si>
    <t>4.3</t>
  </si>
  <si>
    <t>5.</t>
  </si>
  <si>
    <t>5.1</t>
  </si>
  <si>
    <t>5.2</t>
  </si>
  <si>
    <t>5.3</t>
  </si>
  <si>
    <t>5.4</t>
  </si>
  <si>
    <t>5.5</t>
  </si>
  <si>
    <t>5.6</t>
  </si>
  <si>
    <t>5.7</t>
  </si>
  <si>
    <t>OBRA: ESTAÇÃO VILA SIQUEIRA</t>
  </si>
  <si>
    <t>DATA: JUNHO DE 2018</t>
  </si>
  <si>
    <t>1.5.1</t>
  </si>
  <si>
    <t>1.6.1</t>
  </si>
  <si>
    <t>1.8</t>
  </si>
  <si>
    <t>1.9</t>
  </si>
  <si>
    <t>3.4</t>
  </si>
  <si>
    <t>3.5</t>
  </si>
  <si>
    <t>3.6</t>
  </si>
  <si>
    <t>Forro</t>
  </si>
  <si>
    <t>4.4</t>
  </si>
  <si>
    <t>4.5</t>
  </si>
  <si>
    <t>4.6</t>
  </si>
  <si>
    <t>4.7</t>
  </si>
  <si>
    <t>4.8</t>
  </si>
  <si>
    <t>Remoção das telhas em fibrocimento</t>
  </si>
  <si>
    <t xml:space="preserve">Encargos sociais incluso no valor da mão de obra  </t>
  </si>
  <si>
    <t xml:space="preserve">horista: 84,66 % </t>
  </si>
  <si>
    <t>mensalistas: 47,71 %</t>
  </si>
  <si>
    <t>Código das composições</t>
  </si>
  <si>
    <t>consumo</t>
  </si>
  <si>
    <t>Unid.</t>
  </si>
  <si>
    <t>Custos Unit. (R$)</t>
  </si>
  <si>
    <t>Custos do item</t>
  </si>
  <si>
    <t>mão de obra</t>
  </si>
  <si>
    <t>composição própria</t>
  </si>
  <si>
    <t>Sinapi - C - 88316</t>
  </si>
  <si>
    <t xml:space="preserve">Servente com encargos complementares </t>
  </si>
  <si>
    <t>h</t>
  </si>
  <si>
    <t>total da  composição</t>
  </si>
  <si>
    <t>Identificação, classificação e armazenamento de peças soltas</t>
  </si>
  <si>
    <t>Sinapi - C -88316</t>
  </si>
  <si>
    <t>Instalação/ ligação provisória água e  esgoto completa</t>
  </si>
  <si>
    <t>Sinapi - I - 6010</t>
  </si>
  <si>
    <t xml:space="preserve">Registro de gaveta 1 1/2" </t>
  </si>
  <si>
    <t>Sinapi - I - 20070</t>
  </si>
  <si>
    <t xml:space="preserve">Tubo PVC água soldável 50mm </t>
  </si>
  <si>
    <t>Sinapi - I - 3503</t>
  </si>
  <si>
    <t xml:space="preserve">Joelho 90 PVC Soldável 50mm </t>
  </si>
  <si>
    <t>Sinapi - I -20080</t>
  </si>
  <si>
    <t xml:space="preserve">Adesivo plástico p/ tubo PVC </t>
  </si>
  <si>
    <t>Sinapi - I -11871</t>
  </si>
  <si>
    <t>Caixa d'água 500 Lit.</t>
  </si>
  <si>
    <t>Sinapi - I -11763</t>
  </si>
  <si>
    <t>Torneira boia 50mm</t>
  </si>
  <si>
    <t>Sinapi - I -99</t>
  </si>
  <si>
    <t>Adaptador longo PVC 50mm x1 1/2"</t>
  </si>
  <si>
    <t>Sinapi - I -112</t>
  </si>
  <si>
    <t>Adaptador curtoPVC 50mm x1 1/2"</t>
  </si>
  <si>
    <t>Sinapi - C - 88267</t>
  </si>
  <si>
    <t>Instalador ou bombeiro hidráulico com encargos complementares</t>
  </si>
  <si>
    <t>Sinapi - C - 88248</t>
  </si>
  <si>
    <t>Auxiliar  instalador ou bombeiro hidráulico com encargos complementares</t>
  </si>
  <si>
    <t>cotação de preço</t>
  </si>
  <si>
    <t>Servente com encargos complementares</t>
  </si>
  <si>
    <t>Revisão estrutura de madeira/substituição de peças danificadas</t>
  </si>
  <si>
    <t>Sinapi - I -3989</t>
  </si>
  <si>
    <t>Madeira nativa/regional serrada aplainada</t>
  </si>
  <si>
    <t>Total da composição</t>
  </si>
  <si>
    <t>kg</t>
  </si>
  <si>
    <t>Pintor com encargos complementares</t>
  </si>
  <si>
    <t>Telhadista com encargos complementares</t>
  </si>
  <si>
    <t>Sinapi - I - 16</t>
  </si>
  <si>
    <t>Sabão neutro</t>
  </si>
  <si>
    <t>Escova de cerdas macias</t>
  </si>
  <si>
    <t>preço local</t>
  </si>
  <si>
    <t>Sinapi - I - 3768</t>
  </si>
  <si>
    <t>Lixa para ferro</t>
  </si>
  <si>
    <t>Sinapi - I - 3767</t>
  </si>
  <si>
    <t>Lixa em folha para parede ou madeira, numero 120 (cor vermelha)</t>
  </si>
  <si>
    <t>lt</t>
  </si>
  <si>
    <t>Fundo convertedor de ferrugem (500ml)</t>
  </si>
  <si>
    <t>mês</t>
  </si>
  <si>
    <t>Carpinteiro com encargos complementares</t>
  </si>
  <si>
    <t>COPOSIÇÕES PRÓPRIAS ESTAÇÃO VILA SIQUEIRA</t>
  </si>
  <si>
    <t>Insumo</t>
  </si>
  <si>
    <t xml:space="preserve">descrição </t>
  </si>
  <si>
    <t>cotação 01</t>
  </si>
  <si>
    <t>valor (R$)</t>
  </si>
  <si>
    <t>cotação  02</t>
  </si>
  <si>
    <t>fornecedor 03</t>
  </si>
  <si>
    <t>mediana /média (R$)</t>
  </si>
  <si>
    <t>Normatel</t>
  </si>
  <si>
    <t xml:space="preserve">Telha Norte </t>
  </si>
  <si>
    <t>Castronaves</t>
  </si>
  <si>
    <t xml:space="preserve">  Leroy Merlin</t>
  </si>
  <si>
    <t>500 ml</t>
  </si>
  <si>
    <t>Loja do mecênico</t>
  </si>
  <si>
    <t>Americanas.com</t>
  </si>
  <si>
    <t>Instalações Elétricas</t>
  </si>
  <si>
    <t>Serviços Iniciais/instalação da obra</t>
  </si>
  <si>
    <t>SINAPI -73847/001</t>
  </si>
  <si>
    <t>Aluguel container/escrit incl inst elet larg=2,20 comp=6,20m alt.=2,50m chapa aco c/nerv trapez forro c/isol termo/acústico chassis reforc piso compens naval exc transp./carga/descarga</t>
  </si>
  <si>
    <t>SINAPI -74220/001</t>
  </si>
  <si>
    <t>Tapume de chapa de madeira compensada, esp. 14 mm , com altura de 2,10 m</t>
  </si>
  <si>
    <t>SINAPI - 88487</t>
  </si>
  <si>
    <t>Pintura do tapume, duas demãos de tinta látex</t>
  </si>
  <si>
    <t>SINAPI -74209/001</t>
  </si>
  <si>
    <t xml:space="preserve">Placas de obra em chapa galvanizada </t>
  </si>
  <si>
    <t>SINAPI - 41598</t>
  </si>
  <si>
    <t>Instalação/ ligação provisória energia elétrica  completa</t>
  </si>
  <si>
    <t xml:space="preserve">Limpeza permanente - 1 servente </t>
  </si>
  <si>
    <t>SINAPI - 90770</t>
  </si>
  <si>
    <t>ORSE - 10725</t>
  </si>
  <si>
    <t xml:space="preserve">Vigilância- noturna com encargos complementares, fim de semana e feriados </t>
  </si>
  <si>
    <t>referência</t>
  </si>
  <si>
    <t>meses</t>
  </si>
  <si>
    <t xml:space="preserve">TOTAL DO GRUPO </t>
  </si>
  <si>
    <t>Administração da obra</t>
  </si>
  <si>
    <t>Aluguel container/escrit</t>
  </si>
  <si>
    <t>tempo execução de obra</t>
  </si>
  <si>
    <t xml:space="preserve">Painiés de informações elucidativas no tapume </t>
  </si>
  <si>
    <t>dentificação, classificação e armazenamento de peças soltas</t>
  </si>
  <si>
    <t xml:space="preserve">árera  total da obra </t>
  </si>
  <si>
    <t xml:space="preserve">meses de obra </t>
  </si>
  <si>
    <t>horas por mês</t>
  </si>
  <si>
    <t xml:space="preserve">um turno por dia </t>
  </si>
  <si>
    <t>tempo de execução da obra</t>
  </si>
  <si>
    <t xml:space="preserve">Engenheiro/ arquiteto de obra pleno </t>
  </si>
  <si>
    <t>Vigia durante a semana fora do horário expediente (17h as 7h - 20 dias)</t>
  </si>
  <si>
    <t>Vigia durante os finais de semanas (sábado e domingo - 4 finais de semana)</t>
  </si>
  <si>
    <t>Vigia feriado (estimativa de um feriado por mês)</t>
  </si>
  <si>
    <t>soma</t>
  </si>
  <si>
    <t xml:space="preserve">tempo de execução da obra </t>
  </si>
  <si>
    <t xml:space="preserve">Administração da obra </t>
  </si>
  <si>
    <t>SINAPI - 97649</t>
  </si>
  <si>
    <t>SINAPI - 97650</t>
  </si>
  <si>
    <t>Remoção do forro e rodaforro em madeira  existentes</t>
  </si>
  <si>
    <t>4.9</t>
  </si>
  <si>
    <t>Sinapi -C - 88316</t>
  </si>
  <si>
    <t>Servente com encargo complementar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</si>
  <si>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</si>
  <si>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</si>
  <si>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</si>
  <si>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</si>
  <si>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</si>
  <si>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</si>
  <si>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</si>
  <si>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</si>
  <si>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</si>
  <si>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3.4.1</t>
  </si>
  <si>
    <t>3.5.1</t>
  </si>
  <si>
    <t>3.6.1</t>
  </si>
  <si>
    <t>4.2.1</t>
  </si>
  <si>
    <t>4.2.2</t>
  </si>
  <si>
    <t>4.2.3</t>
  </si>
  <si>
    <t>Limpeza, classificação e armazenagem das telhas cerâmicas</t>
  </si>
  <si>
    <t xml:space="preserve"> nordeste </t>
  </si>
  <si>
    <t>sudoeste</t>
  </si>
  <si>
    <t>sudeste</t>
  </si>
  <si>
    <t>noroeste</t>
  </si>
  <si>
    <t xml:space="preserve">calhas </t>
  </si>
  <si>
    <t>rufo</t>
  </si>
  <si>
    <t>sala 05</t>
  </si>
  <si>
    <t>sala 06</t>
  </si>
  <si>
    <t>sala 07</t>
  </si>
  <si>
    <t>circulação</t>
  </si>
  <si>
    <t xml:space="preserve">Execução de subcobertura com manta </t>
  </si>
  <si>
    <t>SINAPI - 94225</t>
  </si>
  <si>
    <t>Sinapi -C - 88273</t>
  </si>
  <si>
    <t>Sinapi -C - 88323</t>
  </si>
  <si>
    <t>SINAPI - 55960</t>
  </si>
  <si>
    <t>SINAPI - 94219</t>
  </si>
  <si>
    <t xml:space="preserve">Cumeeiras e espigões cerâmicos emboçado com argamassa </t>
  </si>
  <si>
    <t>Resina acrilica fosca</t>
  </si>
  <si>
    <t>Marceneiro com encargos complementares</t>
  </si>
  <si>
    <t>Sinapi -C -88310</t>
  </si>
  <si>
    <t>16.54</t>
  </si>
  <si>
    <t>4.7.1</t>
  </si>
  <si>
    <t>4.7.2</t>
  </si>
  <si>
    <t>4.7.3</t>
  </si>
  <si>
    <t>ll</t>
  </si>
  <si>
    <t>Telhamento com telha metálica</t>
  </si>
  <si>
    <t>Execução de calhas metálicas em chapa galvanizada</t>
  </si>
  <si>
    <t xml:space="preserve">Execução de rufos metálicos em chapa galvanizada </t>
  </si>
  <si>
    <t>Execução de tubo de queda em chapa galvanizada</t>
  </si>
  <si>
    <t>4.10</t>
  </si>
  <si>
    <t>4.11</t>
  </si>
  <si>
    <t>4.12</t>
  </si>
  <si>
    <t xml:space="preserve">Tinta esmalte sintetico fosco </t>
  </si>
  <si>
    <t>Sinapi - I - 7288</t>
  </si>
  <si>
    <t xml:space="preserve">Fundo convertor de ferrugem </t>
  </si>
  <si>
    <t>4.8.1</t>
  </si>
  <si>
    <t>4.8.2</t>
  </si>
  <si>
    <t>4.8.3</t>
  </si>
  <si>
    <t>4.8.4</t>
  </si>
  <si>
    <t>4.8.5</t>
  </si>
  <si>
    <t>4.8.6</t>
  </si>
  <si>
    <t>4.8.7</t>
  </si>
  <si>
    <t>500ml</t>
  </si>
  <si>
    <t>Telha metálica</t>
  </si>
  <si>
    <t>4.9.1</t>
  </si>
  <si>
    <t>4.9.2</t>
  </si>
  <si>
    <t>4.9.3</t>
  </si>
  <si>
    <t>SINAPI - 94227</t>
  </si>
  <si>
    <t>SINAPI - 94231</t>
  </si>
  <si>
    <t>tubo de queda em chapa galvanizada</t>
  </si>
  <si>
    <t>4.13</t>
  </si>
  <si>
    <t>4.14</t>
  </si>
  <si>
    <t>Execução do forro e rodaforro, conforme original</t>
  </si>
  <si>
    <t>Imunização dos elementos em madeira</t>
  </si>
  <si>
    <t>SINAPI - 84657</t>
  </si>
  <si>
    <t>SINAPI - 74065/001</t>
  </si>
  <si>
    <t>Telhamento com telhas cerâmicas</t>
  </si>
  <si>
    <t>4.15</t>
  </si>
  <si>
    <t>6.1</t>
  </si>
  <si>
    <t>Substituição da rede elétrica que passa pelo forro</t>
  </si>
  <si>
    <t xml:space="preserve">unid </t>
  </si>
  <si>
    <t>Eletroduto corrugado</t>
  </si>
  <si>
    <t>Fio 4.0</t>
  </si>
  <si>
    <t xml:space="preserve">Fita isolante </t>
  </si>
  <si>
    <t xml:space="preserve">Eletricista com encargos complementares </t>
  </si>
  <si>
    <t xml:space="preserve">Revisão da entrada de energia </t>
  </si>
  <si>
    <t>6.2</t>
  </si>
  <si>
    <t>6.3</t>
  </si>
  <si>
    <t xml:space="preserve">Técnico de segurança com encargos complementares  </t>
  </si>
  <si>
    <t>Sinapi -C - 88261</t>
  </si>
  <si>
    <t>Sinapi -C - 88251</t>
  </si>
  <si>
    <t>Auxiliar de serralheiro com encargos complentares</t>
  </si>
  <si>
    <t>Serralheiro com encargos complentares</t>
  </si>
  <si>
    <t>Sinapi -C - 88315</t>
  </si>
  <si>
    <t>SINAPI -73953/008</t>
  </si>
  <si>
    <t xml:space="preserve">Instalação  de luminárias tipo calha, de sobrepor 2x2x36w, completas </t>
  </si>
  <si>
    <t>Substituição da rede elétrica que passa pelo forro e marquise</t>
  </si>
  <si>
    <t xml:space="preserve">Instalção de luminária xxxxxx - marquise </t>
  </si>
  <si>
    <t>6.4</t>
  </si>
  <si>
    <t>Sinapi - C - 88264</t>
  </si>
  <si>
    <t>Sinapi - I- 20111</t>
  </si>
  <si>
    <t>Sinapi - I- 4602</t>
  </si>
  <si>
    <t>Fio 1.5</t>
  </si>
  <si>
    <t>Sinapi - I- 34607</t>
  </si>
  <si>
    <t>Sinapi - I- 2688</t>
  </si>
  <si>
    <t>6.</t>
  </si>
  <si>
    <t>Luminária xxxx</t>
  </si>
  <si>
    <t>Instalações elétricas</t>
  </si>
  <si>
    <t xml:space="preserve">salinha </t>
  </si>
  <si>
    <t>banheiro</t>
  </si>
  <si>
    <t>CRONOGRAMA FÍSICO FINANCEIRO</t>
  </si>
  <si>
    <t>Valor (R$) sem BDI</t>
  </si>
  <si>
    <t>Valor (R$) do BDI</t>
  </si>
  <si>
    <t>Valor (R$) com BDI</t>
  </si>
  <si>
    <t>%</t>
  </si>
  <si>
    <t>MESES</t>
  </si>
  <si>
    <t>discriminação do item</t>
  </si>
  <si>
    <t>Total</t>
  </si>
  <si>
    <t>Demolição e retirada</t>
  </si>
  <si>
    <t>TOTAIS</t>
  </si>
  <si>
    <t>Total Mensal</t>
  </si>
  <si>
    <t>Total Acumulado</t>
  </si>
  <si>
    <t>TOTAL DO ORÇAMENTO SEM BDI</t>
  </si>
  <si>
    <t>TOTAL GERAL DA OBRA COM BDI</t>
  </si>
  <si>
    <t xml:space="preserve">valor total </t>
  </si>
  <si>
    <t xml:space="preserve">Telhamento com telha metálica ondulada, inclusive cumeeira </t>
  </si>
  <si>
    <t>ENDEREÇO: AV. RIO GRANDE, Nº 500, BALNEÁRIO CASSINO, RIO GRANDE, RS</t>
  </si>
  <si>
    <t>PLANILHA ORÇAMENTÁRIA</t>
  </si>
  <si>
    <t xml:space="preserve">COTAÇÃO DE PREÇOS VILLA SIQUEIRA </t>
  </si>
  <si>
    <t>Planilha de Composição de BDI</t>
  </si>
  <si>
    <t xml:space="preserve">PLANILHA DE BDI PARA OBRAS E SERVIÇOS DE ENGENHARIA </t>
  </si>
  <si>
    <t xml:space="preserve">Grupo A </t>
  </si>
  <si>
    <t>Despesas Indiretas</t>
  </si>
  <si>
    <t xml:space="preserve">Administração Central </t>
  </si>
  <si>
    <t>Total do Grupo A =</t>
  </si>
  <si>
    <t>Grupo B</t>
  </si>
  <si>
    <t>Lucro</t>
  </si>
  <si>
    <t>Seguro e Garantia</t>
  </si>
  <si>
    <t>Risco de engenharia</t>
  </si>
  <si>
    <t>Lucro Bruto</t>
  </si>
  <si>
    <t>Despesas Financeiras</t>
  </si>
  <si>
    <t>Total do Grupo B =</t>
  </si>
  <si>
    <t>Grupo C</t>
  </si>
  <si>
    <t xml:space="preserve">Impostos </t>
  </si>
  <si>
    <r>
      <t>ISS</t>
    </r>
    <r>
      <rPr>
        <sz val="9"/>
        <color indexed="10"/>
        <rFont val="Century Gothic"/>
        <family val="2"/>
      </rPr>
      <t xml:space="preserve"> </t>
    </r>
  </si>
  <si>
    <t>PIS</t>
  </si>
  <si>
    <t>COFINS</t>
  </si>
  <si>
    <t>CPRB</t>
  </si>
  <si>
    <t>Total do Grupo C =</t>
  </si>
  <si>
    <t>Fórmula para o cálculo de BDI</t>
  </si>
  <si>
    <t xml:space="preserve"> BDI = [((1/(1-IMP))*(1+AD)*(1+DEF)*(1+LB)*(1+(RE+SG)))-1]*100</t>
  </si>
  <si>
    <t>PLANILHA PADRÃO DE COMPOSIÇÃO ANALÍTICA DAS TAXAS DE ENCARGOS SOCIAIS</t>
  </si>
  <si>
    <t>CÓDIGO</t>
  </si>
  <si>
    <t>DESCRIÇÃO</t>
  </si>
  <si>
    <t>com desoneração</t>
  </si>
  <si>
    <t>sem desoneração</t>
  </si>
  <si>
    <t>HORISTA %</t>
  </si>
  <si>
    <t>MENSALISTA %</t>
  </si>
  <si>
    <t>GRUPO - A</t>
  </si>
  <si>
    <t>A1</t>
  </si>
  <si>
    <t>Previdência Social (INSS)</t>
  </si>
  <si>
    <t>A2</t>
  </si>
  <si>
    <t>Serviço Social da Indústria (SESI)</t>
  </si>
  <si>
    <t>A3</t>
  </si>
  <si>
    <t>Serviço Nacional de Aprendizagem Industrial (SENAI)</t>
  </si>
  <si>
    <t>A4</t>
  </si>
  <si>
    <t>Instituto Nacional de Colonização e Reforma Agrária (INCRA)</t>
  </si>
  <si>
    <t>A5</t>
  </si>
  <si>
    <t>Serviço de Apoio a Pequena e Média Empresa (SEBRAE)</t>
  </si>
  <si>
    <t>A6</t>
  </si>
  <si>
    <t>Salário Educação</t>
  </si>
  <si>
    <t>A7</t>
  </si>
  <si>
    <t>Seguro Contra os Acidentes de Trabalho</t>
  </si>
  <si>
    <t>A8</t>
  </si>
  <si>
    <t>Fundo de Garantia por Tempo de Serviço (FGTS)</t>
  </si>
  <si>
    <t>A9</t>
  </si>
  <si>
    <t>SECONCI</t>
  </si>
  <si>
    <t>A</t>
  </si>
  <si>
    <t>ee</t>
  </si>
  <si>
    <t>GRUPO - B</t>
  </si>
  <si>
    <t>B1</t>
  </si>
  <si>
    <t>Repouso Semanal Remunerado</t>
  </si>
  <si>
    <t>não inside</t>
  </si>
  <si>
    <t>B2</t>
  </si>
  <si>
    <t>Feriados</t>
  </si>
  <si>
    <t>B3</t>
  </si>
  <si>
    <t>Auxílio - Enfermidade</t>
  </si>
  <si>
    <t>B4</t>
  </si>
  <si>
    <t>13° Salário</t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</si>
  <si>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</si>
  <si>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</si>
  <si>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</si>
  <si>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</si>
  <si>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</si>
  <si>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</si>
  <si>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</si>
  <si>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</si>
  <si>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</si>
  <si>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</si>
  <si>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</si>
  <si>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</si>
  <si>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</si>
  <si>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Sub - Total B</t>
  </si>
  <si>
    <t>GRUPO -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</si>
  <si>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</si>
  <si>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</si>
  <si>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</si>
  <si>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</si>
  <si>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</si>
  <si>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</si>
  <si>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</si>
  <si>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</si>
  <si>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</si>
  <si>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</si>
  <si>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</si>
  <si>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TOTAL DE ENCARGOS SOCIAIS QUE NÃO RECEBEM INCIDÊNCIA DE A</t>
  </si>
  <si>
    <t>GRUPO -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</si>
  <si>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</si>
  <si>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</si>
  <si>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</si>
  <si>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</si>
  <si>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</si>
  <si>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DE REINCIDÊNCIAS DE UM GRUPO SOBRE O OUTRO</t>
  </si>
  <si>
    <t>TOTAL (A+B+C+D+E)</t>
  </si>
  <si>
    <t>OBRA: ESTAÇÃO VILLA SIQUEIRA</t>
  </si>
  <si>
    <t>TOTAL DO BDI PARA OBRA (24,41 %)</t>
  </si>
  <si>
    <t xml:space="preserve">Caixas pluvial </t>
  </si>
  <si>
    <t xml:space="preserve">Planilha Base SINAPI / ORSE / Mercado Local			
Mês de Referência: maio /2018			
BDI: 24,41%  			
	Encargos Sociais Horista: 84,16 %		
	Encargos Sociais Mensalistas: 47,54%
			</t>
  </si>
  <si>
    <t xml:space="preserve">Instalação  de luminárias tipo calha, de sobrepor 2x2x36w de led, completas </t>
  </si>
  <si>
    <t xml:space="preserve">Instalção de lumináriatipo spot 50W de led - marquise </t>
  </si>
  <si>
    <t>7.</t>
  </si>
  <si>
    <t>7.1</t>
  </si>
  <si>
    <t>SINAPI -10527</t>
  </si>
  <si>
    <t>m/mês</t>
  </si>
  <si>
    <t>Equipamentos</t>
  </si>
  <si>
    <t xml:space="preserve">Equipamentos </t>
  </si>
  <si>
    <t>Locação de andaime metálico tubular de encaixe, tipo de torre,</t>
  </si>
  <si>
    <t xml:space="preserve">mês de obra </t>
  </si>
  <si>
    <t>torre</t>
  </si>
  <si>
    <t>SINAPI - 97062</t>
  </si>
  <si>
    <t>Colocação de tela em andaime fachadeiro.</t>
  </si>
  <si>
    <t>7.2</t>
  </si>
  <si>
    <t>Locação de andaime metálico tubular de encaixe, tipo de torre</t>
  </si>
  <si>
    <t>horas por mês ( duas horas por dia)</t>
  </si>
  <si>
    <t>horas por mês( uma horas por dia)</t>
  </si>
  <si>
    <t xml:space="preserve">Engenheiro Pleno Segurança do Trabalho </t>
  </si>
  <si>
    <t xml:space="preserve">Arquiteto sênior com encargos complementares </t>
  </si>
  <si>
    <t xml:space="preserve">Instalção de luminária tipo spot- marquise </t>
  </si>
  <si>
    <t xml:space="preserve">Execução de ripamento em madeira </t>
  </si>
  <si>
    <t>4.16</t>
  </si>
  <si>
    <t>Execução de terças metálicas com perfil U</t>
  </si>
  <si>
    <t>Execução de terças metálicas com perfil U 50x25mm</t>
  </si>
  <si>
    <t>4.9.4</t>
  </si>
  <si>
    <t>Sinapi - I -36788</t>
  </si>
  <si>
    <t>Telhas cerâmica tipo portuguesa</t>
  </si>
  <si>
    <t>Telhamento com telhas cerâmicas, reaproveitamento de 40%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</si>
</sst>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0.0%"/>
  </numFmts>
  <fonts count="25" x14ac:knownFonts="1">
    <font>
      <sz val="11"/>
      <color theme="1"/>
      <name val="Calibri"/>
      <family val="2"/>
      <scheme val="minor"/>
    </font>
    <font>
      <b/>
      <sz val="9"/>
      <color indexed="8"/>
      <name val="Century Gothic"/>
      <family val="2"/>
    </font>
    <font>
      <sz val="9"/>
      <color indexed="8"/>
      <name val="Century Gothic"/>
      <family val="2"/>
    </font>
    <font>
      <b/>
      <sz val="9"/>
      <name val="Century Gothic"/>
      <family val="2"/>
    </font>
    <font>
      <sz val="9"/>
      <name val="Century Gothic"/>
      <family val="2"/>
    </font>
    <font>
      <sz val="9"/>
      <color theme="1"/>
      <name val="Century Gothic"/>
      <family val="2"/>
    </font>
    <font>
      <sz val="11"/>
      <color theme="1"/>
      <name val="Calibri"/>
      <family val="2"/>
      <scheme val="minor"/>
    </font>
    <font>
      <sz val="8"/>
      <name val="Century Gothic"/>
      <family val="2"/>
    </font>
    <font>
      <sz val="8"/>
      <color indexed="8"/>
      <name val="Century Gothic"/>
      <family val="2"/>
    </font>
    <font>
      <b/>
      <sz val="8"/>
      <name val="Century Gothic"/>
      <family val="2"/>
    </font>
    <font>
      <sz val="9"/>
      <color rgb="FFFF0000"/>
      <name val="Century Gothic"/>
      <family val="2"/>
    </font>
    <font>
      <sz val="10"/>
      <name val="Arial"/>
      <family val="2"/>
    </font>
    <font>
      <b/>
      <sz val="10"/>
      <color indexed="8"/>
      <name val="Century Gothic"/>
      <family val="2"/>
    </font>
    <font>
      <sz val="8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b/>
      <sz val="12"/>
      <name val="Century Gothic"/>
      <family val="2"/>
    </font>
    <font>
      <b/>
      <sz val="14"/>
      <name val="Century Gothic"/>
      <family val="2"/>
    </font>
    <font>
      <sz val="9"/>
      <color indexed="10"/>
      <name val="Century Gothic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b/>
      <sz val="7"/>
      <name val="Century Gothic"/>
      <family val="2"/>
    </font>
  </fonts>
  <fills count="1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</fills>
  <borders count="139">
    <border>
      <left/>
      <right/>
      <top/>
      <bottom/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55"/>
      </left>
      <right/>
      <top/>
      <bottom/>
      <diagonal/>
    </border>
    <border>
      <left/>
      <right style="medium">
        <color indexed="55"/>
      </right>
      <top/>
      <bottom/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medium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medium">
        <color indexed="55"/>
      </top>
      <bottom style="thin">
        <color indexed="55"/>
      </bottom>
      <diagonal/>
    </border>
    <border>
      <left style="medium">
        <color indexed="55"/>
      </left>
      <right/>
      <top style="medium">
        <color indexed="55"/>
      </top>
      <bottom/>
      <diagonal/>
    </border>
    <border>
      <left/>
      <right/>
      <top style="medium">
        <color indexed="55"/>
      </top>
      <bottom/>
      <diagonal/>
    </border>
    <border>
      <left/>
      <right style="medium">
        <color indexed="55"/>
      </right>
      <top style="medium">
        <color indexed="55"/>
      </top>
      <bottom/>
      <diagonal/>
    </border>
    <border>
      <left style="medium">
        <color indexed="55"/>
      </left>
      <right/>
      <top/>
      <bottom style="medium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 style="medium">
        <color indexed="55"/>
      </right>
      <top/>
      <bottom style="medium">
        <color indexed="55"/>
      </bottom>
      <diagonal/>
    </border>
    <border>
      <left style="medium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medium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medium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indexed="55"/>
      </left>
      <right/>
      <top style="medium">
        <color indexed="55"/>
      </top>
      <bottom style="medium">
        <color indexed="55"/>
      </bottom>
      <diagonal/>
    </border>
    <border>
      <left/>
      <right/>
      <top style="medium">
        <color indexed="55"/>
      </top>
      <bottom style="medium">
        <color indexed="55"/>
      </bottom>
      <diagonal/>
    </border>
    <border>
      <left/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medium">
        <color indexed="55"/>
      </left>
      <right style="thin">
        <color indexed="22"/>
      </right>
      <top style="medium">
        <color indexed="55"/>
      </top>
      <bottom/>
      <diagonal/>
    </border>
    <border>
      <left style="thin">
        <color indexed="22"/>
      </left>
      <right style="thin">
        <color indexed="22"/>
      </right>
      <top style="medium">
        <color indexed="55"/>
      </top>
      <bottom/>
      <diagonal/>
    </border>
    <border>
      <left style="thin">
        <color indexed="22"/>
      </left>
      <right style="medium">
        <color indexed="22"/>
      </right>
      <top style="medium">
        <color indexed="55"/>
      </top>
      <bottom/>
      <diagonal/>
    </border>
    <border>
      <left style="medium">
        <color indexed="22"/>
      </left>
      <right style="thin">
        <color indexed="22"/>
      </right>
      <top style="medium">
        <color indexed="55"/>
      </top>
      <bottom/>
      <diagonal/>
    </border>
    <border>
      <left style="thin">
        <color indexed="22"/>
      </left>
      <right/>
      <top style="medium">
        <color indexed="55"/>
      </top>
      <bottom/>
      <diagonal/>
    </border>
    <border>
      <left style="medium">
        <color indexed="22"/>
      </left>
      <right style="medium">
        <color indexed="55"/>
      </right>
      <top style="medium">
        <color indexed="55"/>
      </top>
      <bottom/>
      <diagonal/>
    </border>
    <border>
      <left style="medium">
        <color indexed="22"/>
      </left>
      <right/>
      <top style="thin">
        <color theme="0" tint="-0.249977111117893"/>
      </top>
      <bottom style="thin">
        <color indexed="22"/>
      </bottom>
      <diagonal/>
    </border>
    <border>
      <left/>
      <right style="thin">
        <color indexed="22"/>
      </right>
      <top style="thin">
        <color theme="0" tint="-0.249977111117893"/>
      </top>
      <bottom style="thin">
        <color indexed="22"/>
      </bottom>
      <diagonal/>
    </border>
    <border>
      <left style="medium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medium">
        <color indexed="55"/>
      </left>
      <right style="medium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medium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medium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 style="thin">
        <color theme="0" tint="-0.249977111117893"/>
      </bottom>
      <diagonal/>
    </border>
    <border>
      <left style="medium">
        <color indexed="55"/>
      </left>
      <right style="medium">
        <color indexed="22"/>
      </right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 style="medium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medium">
        <color indexed="55"/>
      </left>
      <right style="medium">
        <color indexed="22"/>
      </right>
      <top style="thin">
        <color indexed="22"/>
      </top>
      <bottom style="medium">
        <color indexed="55"/>
      </bottom>
      <diagonal/>
    </border>
    <border>
      <left/>
      <right/>
      <top style="thin">
        <color indexed="22"/>
      </top>
      <bottom style="medium">
        <color indexed="55"/>
      </bottom>
      <diagonal/>
    </border>
    <border>
      <left/>
      <right style="medium">
        <color indexed="22"/>
      </right>
      <top style="thin">
        <color indexed="22"/>
      </top>
      <bottom style="medium">
        <color indexed="55"/>
      </bottom>
      <diagonal/>
    </border>
    <border>
      <left style="medium">
        <color indexed="22"/>
      </left>
      <right/>
      <top style="thin">
        <color indexed="22"/>
      </top>
      <bottom style="medium">
        <color indexed="55"/>
      </bottom>
      <diagonal/>
    </border>
    <border>
      <left/>
      <right style="thin">
        <color indexed="22"/>
      </right>
      <top style="thin">
        <color indexed="22"/>
      </top>
      <bottom style="medium">
        <color indexed="55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 style="medium">
        <color indexed="55"/>
      </bottom>
      <diagonal/>
    </border>
    <border>
      <left style="thin">
        <color indexed="22"/>
      </left>
      <right/>
      <top style="thin">
        <color indexed="22"/>
      </top>
      <bottom style="medium">
        <color indexed="55"/>
      </bottom>
      <diagonal/>
    </border>
    <border>
      <left style="medium">
        <color indexed="22"/>
      </left>
      <right style="medium">
        <color indexed="55"/>
      </right>
      <top style="thin">
        <color indexed="22"/>
      </top>
      <bottom style="medium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55"/>
      </left>
      <right style="medium">
        <color theme="0" tint="-0.249977111117893"/>
      </right>
      <top/>
      <bottom/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indexed="55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indexed="55"/>
      </bottom>
      <diagonal/>
    </border>
    <border>
      <left style="thin">
        <color indexed="55"/>
      </left>
      <right style="thin">
        <color theme="0" tint="-0.14999847407452621"/>
      </right>
      <top style="medium">
        <color indexed="55"/>
      </top>
      <bottom style="thin">
        <color theme="0" tint="-0.14999847407452621"/>
      </bottom>
      <diagonal/>
    </border>
    <border>
      <left/>
      <right/>
      <top style="medium">
        <color indexed="55"/>
      </top>
      <bottom style="thin">
        <color indexed="55"/>
      </bottom>
      <diagonal/>
    </border>
    <border>
      <left style="thin">
        <color theme="0" tint="-0.14999847407452621"/>
      </left>
      <right style="thin">
        <color indexed="55"/>
      </right>
      <top style="medium">
        <color indexed="55"/>
      </top>
      <bottom style="thin">
        <color theme="0" tint="-0.14999847407452621"/>
      </bottom>
      <diagonal/>
    </border>
    <border>
      <left style="thin">
        <color indexed="55"/>
      </left>
      <right style="thin">
        <color theme="0" tint="-0.14999847407452621"/>
      </right>
      <top style="medium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theme="0" tint="-0.14999847407452621"/>
      </right>
      <top style="thin">
        <color indexed="55"/>
      </top>
      <bottom style="thin">
        <color indexed="55"/>
      </bottom>
      <diagonal/>
    </border>
    <border>
      <left/>
      <right style="thin">
        <color theme="0" tint="-0.14999847407452621"/>
      </right>
      <top style="medium">
        <color indexed="55"/>
      </top>
      <bottom style="thin">
        <color indexed="55"/>
      </bottom>
      <diagonal/>
    </border>
    <border>
      <left/>
      <right style="thin">
        <color theme="0" tint="-0.14999847407452621"/>
      </right>
      <top style="thin">
        <color indexed="55"/>
      </top>
      <bottom style="thin">
        <color indexed="55"/>
      </bottom>
      <diagonal/>
    </border>
    <border>
      <left/>
      <right style="medium">
        <color indexed="55"/>
      </right>
      <top style="medium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/>
      <bottom style="thin">
        <color indexed="55"/>
      </bottom>
      <diagonal/>
    </border>
    <border>
      <left style="thin">
        <color theme="0" tint="-0.14999847407452621"/>
      </left>
      <right/>
      <top style="medium">
        <color indexed="55"/>
      </top>
      <bottom style="thin">
        <color theme="0" tint="-0.14999847407452621"/>
      </bottom>
      <diagonal/>
    </border>
    <border>
      <left/>
      <right/>
      <top style="medium">
        <color indexed="55"/>
      </top>
      <bottom style="thin">
        <color theme="0" tint="-0.14999847407452621"/>
      </bottom>
      <diagonal/>
    </border>
    <border>
      <left/>
      <right style="medium">
        <color indexed="55"/>
      </right>
      <top style="medium">
        <color indexed="55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indexed="55"/>
      </right>
      <top style="thin">
        <color theme="0" tint="-0.14999847407452621"/>
      </top>
      <bottom style="thin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theme="0" tint="-0.34998626667073579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medium">
        <color theme="0" tint="-0.249977111117893"/>
      </right>
      <top style="medium">
        <color theme="0" tint="-0.34998626667073579"/>
      </top>
      <bottom/>
      <diagonal/>
    </border>
    <border>
      <left style="medium">
        <color theme="0" tint="-0.249977111117893"/>
      </left>
      <right style="thin">
        <color theme="0" tint="-0.249977111117893"/>
      </right>
      <top style="medium">
        <color theme="0" tint="-0.34998626667073579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34998626667073579"/>
      </top>
      <bottom style="thin">
        <color theme="0" tint="-0.249977111117893"/>
      </bottom>
      <diagonal/>
    </border>
    <border>
      <left style="medium">
        <color theme="0" tint="-0.34998626667073579"/>
      </left>
      <right style="thin">
        <color indexed="55"/>
      </right>
      <top/>
      <bottom style="thin">
        <color indexed="55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/>
      <diagonal/>
    </border>
    <border>
      <left style="medium">
        <color indexed="55"/>
      </left>
      <right style="medium">
        <color indexed="55"/>
      </right>
      <top/>
      <bottom/>
      <diagonal/>
    </border>
    <border>
      <left style="medium">
        <color indexed="55"/>
      </left>
      <right style="medium">
        <color indexed="55"/>
      </right>
      <top/>
      <bottom style="medium">
        <color indexed="55"/>
      </bottom>
      <diagonal/>
    </border>
    <border>
      <left style="medium">
        <color indexed="55"/>
      </left>
      <right/>
      <top style="medium">
        <color indexed="55"/>
      </top>
      <bottom style="thin">
        <color indexed="55"/>
      </bottom>
      <diagonal/>
    </border>
    <border>
      <left style="medium">
        <color indexed="8"/>
      </left>
      <right/>
      <top/>
      <bottom/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thin">
        <color indexed="55"/>
      </left>
      <right/>
      <top style="medium">
        <color indexed="55"/>
      </top>
      <bottom style="medium">
        <color indexed="55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indexed="55"/>
      </bottom>
      <diagonal/>
    </border>
    <border>
      <left/>
      <right style="medium">
        <color theme="0" tint="-0.499984740745262"/>
      </right>
      <top/>
      <bottom style="medium">
        <color indexed="55"/>
      </bottom>
      <diagonal/>
    </border>
    <border>
      <left style="medium">
        <color theme="0" tint="-0.499984740745262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theme="0" tint="-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499984740745262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499984740745262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medium">
        <color theme="0" tint="-0.499984740745262"/>
      </right>
      <top/>
      <bottom style="thin">
        <color indexed="55"/>
      </bottom>
      <diagonal/>
    </border>
    <border>
      <left style="medium">
        <color theme="0" tint="-0.499984740745262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theme="0" tint="-0.499984740745262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medium">
        <color theme="0" tint="-0.499984740745262"/>
      </right>
      <top style="thin">
        <color indexed="55"/>
      </top>
      <bottom style="thin">
        <color indexed="55"/>
      </bottom>
      <diagonal/>
    </border>
    <border>
      <left style="medium">
        <color theme="0" tint="-0.499984740745262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medium">
        <color theme="0" tint="-0.499984740745262"/>
      </right>
      <top style="thin">
        <color indexed="55"/>
      </top>
      <bottom/>
      <diagonal/>
    </border>
    <border>
      <left style="medium">
        <color theme="0" tint="-0.499984740745262"/>
      </left>
      <right style="thin">
        <color indexed="55"/>
      </right>
      <top style="medium">
        <color theme="0" tint="-0.34998626667073579"/>
      </top>
      <bottom/>
      <diagonal/>
    </border>
    <border>
      <left style="thin">
        <color theme="0" tint="-0.249977111117893"/>
      </left>
      <right style="medium">
        <color theme="0" tint="-0.499984740745262"/>
      </right>
      <top style="medium">
        <color theme="0" tint="-0.34998626667073579"/>
      </top>
      <bottom style="thin">
        <color theme="0" tint="-0.249977111117893"/>
      </bottom>
      <diagonal/>
    </border>
    <border>
      <left style="medium">
        <color theme="0" tint="-0.499984740745262"/>
      </left>
      <right style="thin">
        <color indexed="55"/>
      </right>
      <top/>
      <bottom/>
      <diagonal/>
    </border>
    <border>
      <left style="thin">
        <color theme="0" tint="-0.249977111117893"/>
      </left>
      <right style="medium">
        <color theme="0" tint="-0.499984740745262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499984740745262"/>
      </left>
      <right style="thin">
        <color indexed="55"/>
      </right>
      <top/>
      <bottom style="medium">
        <color theme="0" tint="-0.499984740745262"/>
      </bottom>
      <diagonal/>
    </border>
    <border>
      <left style="thin">
        <color indexed="55"/>
      </left>
      <right style="medium">
        <color theme="0" tint="-0.249977111117893"/>
      </right>
      <top/>
      <bottom style="medium">
        <color theme="0" tint="-0.499984740745262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49998474074526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499984740745262"/>
      </bottom>
      <diagonal/>
    </border>
    <border>
      <left style="thin">
        <color theme="0" tint="-0.249977111117893"/>
      </left>
      <right style="medium">
        <color theme="0" tint="-0.499984740745262"/>
      </right>
      <top style="thin">
        <color theme="0" tint="-0.249977111117893"/>
      </top>
      <bottom style="medium">
        <color theme="0" tint="-0.499984740745262"/>
      </bottom>
      <diagonal/>
    </border>
    <border>
      <left/>
      <right style="thin">
        <color indexed="55"/>
      </right>
      <top style="thin">
        <color indexed="55"/>
      </top>
      <bottom/>
      <diagonal/>
    </border>
  </borders>
  <cellStyleXfs count="28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1" fillId="0" borderId="0"/>
    <xf numFmtId="166" fontId="16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9" fontId="16" fillId="0" borderId="0" applyFont="0" applyFill="0" applyBorder="0" applyAlignment="0" applyProtection="0"/>
    <xf numFmtId="9" fontId="1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79">
    <xf numFmtId="0" fontId="0" fillId="0" borderId="0" xfId="0"/>
    <xf numFmtId="0" fontId="2" fillId="2" borderId="4" xfId="0" applyFont="1" applyFill="1" applyBorder="1"/>
    <xf numFmtId="0" fontId="2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/>
    </xf>
    <xf numFmtId="0" fontId="1" fillId="3" borderId="4" xfId="0" applyFont="1" applyFill="1" applyBorder="1"/>
    <xf numFmtId="0" fontId="1" fillId="3" borderId="5" xfId="0" applyFont="1" applyFill="1" applyBorder="1" applyAlignment="1">
      <alignment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164" fontId="3" fillId="3" borderId="6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/>
    <xf numFmtId="0" fontId="2" fillId="0" borderId="5" xfId="0" applyFont="1" applyFill="1" applyBorder="1" applyAlignment="1">
      <alignment horizontal="right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wrapText="1"/>
    </xf>
    <xf numFmtId="0" fontId="4" fillId="5" borderId="5" xfId="0" applyFont="1" applyFill="1" applyBorder="1" applyAlignment="1">
      <alignment horizontal="center" vertical="center"/>
    </xf>
    <xf numFmtId="0" fontId="2" fillId="5" borderId="4" xfId="0" applyFont="1" applyFill="1" applyBorder="1"/>
    <xf numFmtId="0" fontId="2" fillId="5" borderId="5" xfId="0" applyFont="1" applyFill="1" applyBorder="1" applyAlignment="1">
      <alignment wrapText="1"/>
    </xf>
    <xf numFmtId="0" fontId="4" fillId="5" borderId="5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 wrapText="1"/>
    </xf>
    <xf numFmtId="2" fontId="4" fillId="5" borderId="5" xfId="0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right" wrapText="1"/>
    </xf>
    <xf numFmtId="164" fontId="4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2" fillId="0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vertical="top"/>
    </xf>
    <xf numFmtId="2" fontId="5" fillId="0" borderId="5" xfId="0" applyNumberFormat="1" applyFont="1" applyFill="1" applyBorder="1"/>
    <xf numFmtId="0" fontId="3" fillId="6" borderId="0" xfId="0" applyFont="1" applyFill="1" applyBorder="1" applyAlignment="1" applyProtection="1">
      <alignment vertical="center" wrapText="1"/>
      <protection locked="0"/>
    </xf>
    <xf numFmtId="43" fontId="3" fillId="6" borderId="0" xfId="2" applyNumberFormat="1" applyFont="1" applyFill="1" applyBorder="1" applyAlignment="1" applyProtection="1">
      <alignment vertical="center" wrapText="1"/>
      <protection locked="0"/>
    </xf>
    <xf numFmtId="0" fontId="7" fillId="6" borderId="7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Alignment="1">
      <alignment horizontal="left"/>
    </xf>
    <xf numFmtId="0" fontId="1" fillId="0" borderId="0" xfId="0" applyFont="1" applyAlignment="1">
      <alignment horizontal="center"/>
    </xf>
    <xf numFmtId="43" fontId="4" fillId="0" borderId="0" xfId="0" applyNumberFormat="1" applyFont="1"/>
    <xf numFmtId="0" fontId="2" fillId="0" borderId="0" xfId="0" applyFont="1"/>
    <xf numFmtId="43" fontId="2" fillId="0" borderId="0" xfId="2" applyNumberFormat="1" applyFont="1"/>
    <xf numFmtId="43" fontId="2" fillId="0" borderId="0" xfId="0" applyNumberFormat="1" applyFont="1"/>
    <xf numFmtId="0" fontId="7" fillId="4" borderId="9" xfId="0" applyFont="1" applyFill="1" applyBorder="1" applyAlignment="1">
      <alignment horizontal="left"/>
    </xf>
    <xf numFmtId="0" fontId="7" fillId="4" borderId="12" xfId="0" applyFont="1" applyFill="1" applyBorder="1" applyAlignment="1">
      <alignment horizontal="left"/>
    </xf>
    <xf numFmtId="0" fontId="7" fillId="0" borderId="12" xfId="0" applyFont="1" applyFill="1" applyBorder="1" applyAlignment="1">
      <alignment horizontal="left"/>
    </xf>
    <xf numFmtId="0" fontId="4" fillId="0" borderId="13" xfId="0" applyFont="1" applyBorder="1"/>
    <xf numFmtId="43" fontId="4" fillId="0" borderId="13" xfId="0" applyNumberFormat="1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43" fontId="4" fillId="0" borderId="13" xfId="2" applyNumberFormat="1" applyFont="1" applyBorder="1" applyAlignment="1">
      <alignment horizontal="center"/>
    </xf>
    <xf numFmtId="43" fontId="4" fillId="0" borderId="13" xfId="1" applyNumberFormat="1" applyFont="1" applyBorder="1"/>
    <xf numFmtId="165" fontId="4" fillId="0" borderId="14" xfId="0" applyNumberFormat="1" applyFont="1" applyBorder="1"/>
    <xf numFmtId="0" fontId="9" fillId="7" borderId="12" xfId="0" applyFont="1" applyFill="1" applyBorder="1" applyAlignment="1">
      <alignment horizontal="left"/>
    </xf>
    <xf numFmtId="0" fontId="3" fillId="7" borderId="13" xfId="0" applyFont="1" applyFill="1" applyBorder="1"/>
    <xf numFmtId="0" fontId="4" fillId="0" borderId="13" xfId="0" applyFont="1" applyFill="1" applyBorder="1" applyAlignment="1">
      <alignment horizontal="center"/>
    </xf>
    <xf numFmtId="43" fontId="4" fillId="0" borderId="13" xfId="2" applyNumberFormat="1" applyFont="1" applyFill="1" applyBorder="1" applyAlignment="1">
      <alignment horizontal="center"/>
    </xf>
    <xf numFmtId="43" fontId="4" fillId="0" borderId="13" xfId="1" applyNumberFormat="1" applyFont="1" applyBorder="1" applyAlignment="1">
      <alignment horizontal="center"/>
    </xf>
    <xf numFmtId="165" fontId="4" fillId="0" borderId="14" xfId="0" applyNumberFormat="1" applyFont="1" applyBorder="1" applyAlignment="1">
      <alignment horizontal="center"/>
    </xf>
    <xf numFmtId="0" fontId="4" fillId="0" borderId="13" xfId="0" applyFont="1" applyFill="1" applyBorder="1" applyAlignment="1">
      <alignment wrapText="1"/>
    </xf>
    <xf numFmtId="0" fontId="7" fillId="8" borderId="12" xfId="0" applyFont="1" applyFill="1" applyBorder="1" applyAlignment="1">
      <alignment horizontal="left"/>
    </xf>
    <xf numFmtId="0" fontId="4" fillId="8" borderId="13" xfId="0" applyFont="1" applyFill="1" applyBorder="1"/>
    <xf numFmtId="164" fontId="4" fillId="3" borderId="6" xfId="0" applyNumberFormat="1" applyFont="1" applyFill="1" applyBorder="1" applyAlignment="1">
      <alignment horizontal="center" vertical="center"/>
    </xf>
    <xf numFmtId="2" fontId="4" fillId="0" borderId="13" xfId="0" applyNumberFormat="1" applyFont="1" applyFill="1" applyBorder="1" applyAlignment="1">
      <alignment horizontal="center"/>
    </xf>
    <xf numFmtId="2" fontId="4" fillId="0" borderId="13" xfId="0" applyNumberFormat="1" applyFont="1" applyBorder="1" applyAlignment="1">
      <alignment horizontal="center"/>
    </xf>
    <xf numFmtId="0" fontId="4" fillId="0" borderId="0" xfId="0" applyFont="1" applyFill="1" applyBorder="1" applyAlignment="1">
      <alignment wrapText="1"/>
    </xf>
    <xf numFmtId="0" fontId="7" fillId="0" borderId="16" xfId="0" applyFont="1" applyFill="1" applyBorder="1" applyAlignment="1">
      <alignment horizontal="left"/>
    </xf>
    <xf numFmtId="43" fontId="4" fillId="8" borderId="17" xfId="0" applyNumberFormat="1" applyFont="1" applyFill="1" applyBorder="1" applyAlignment="1">
      <alignment horizontal="center"/>
    </xf>
    <xf numFmtId="2" fontId="4" fillId="8" borderId="13" xfId="0" applyNumberFormat="1" applyFont="1" applyFill="1" applyBorder="1" applyAlignment="1">
      <alignment horizontal="center"/>
    </xf>
    <xf numFmtId="0" fontId="7" fillId="4" borderId="18" xfId="0" applyFont="1" applyFill="1" applyBorder="1" applyAlignment="1">
      <alignment horizontal="left"/>
    </xf>
    <xf numFmtId="0" fontId="7" fillId="0" borderId="17" xfId="0" applyFont="1" applyFill="1" applyBorder="1" applyAlignment="1">
      <alignment horizontal="left"/>
    </xf>
    <xf numFmtId="0" fontId="9" fillId="7" borderId="17" xfId="0" applyFont="1" applyFill="1" applyBorder="1" applyAlignment="1">
      <alignment horizontal="left"/>
    </xf>
    <xf numFmtId="0" fontId="7" fillId="8" borderId="17" xfId="0" applyFont="1" applyFill="1" applyBorder="1" applyAlignment="1">
      <alignment horizontal="left"/>
    </xf>
    <xf numFmtId="0" fontId="9" fillId="7" borderId="17" xfId="0" applyFont="1" applyFill="1" applyBorder="1" applyAlignment="1">
      <alignment horizontal="center"/>
    </xf>
    <xf numFmtId="2" fontId="4" fillId="6" borderId="0" xfId="0" applyNumberFormat="1" applyFont="1" applyFill="1" applyBorder="1" applyAlignment="1">
      <alignment horizontal="center" vertical="center"/>
    </xf>
    <xf numFmtId="2" fontId="3" fillId="6" borderId="23" xfId="0" applyNumberFormat="1" applyFont="1" applyFill="1" applyBorder="1" applyAlignment="1">
      <alignment horizontal="center" vertical="center"/>
    </xf>
    <xf numFmtId="43" fontId="4" fillId="4" borderId="8" xfId="1" applyNumberFormat="1" applyFont="1" applyFill="1" applyBorder="1" applyAlignment="1">
      <alignment horizontal="center" vertical="center"/>
    </xf>
    <xf numFmtId="43" fontId="3" fillId="4" borderId="15" xfId="1" applyNumberFormat="1" applyFont="1" applyFill="1" applyBorder="1" applyAlignment="1">
      <alignment horizontal="left" vertical="center"/>
    </xf>
    <xf numFmtId="43" fontId="3" fillId="4" borderId="30" xfId="1" applyNumberFormat="1" applyFont="1" applyFill="1" applyBorder="1" applyAlignment="1">
      <alignment horizontal="center" vertical="center"/>
    </xf>
    <xf numFmtId="43" fontId="3" fillId="4" borderId="8" xfId="1" applyNumberFormat="1" applyFont="1" applyFill="1" applyBorder="1" applyAlignment="1">
      <alignment horizontal="center" vertical="center"/>
    </xf>
    <xf numFmtId="0" fontId="7" fillId="11" borderId="31" xfId="0" applyFont="1" applyFill="1" applyBorder="1"/>
    <xf numFmtId="0" fontId="4" fillId="11" borderId="32" xfId="0" applyFont="1" applyFill="1" applyBorder="1"/>
    <xf numFmtId="2" fontId="4" fillId="11" borderId="32" xfId="0" applyNumberFormat="1" applyFont="1" applyFill="1" applyBorder="1" applyAlignment="1">
      <alignment horizontal="center"/>
    </xf>
    <xf numFmtId="0" fontId="2" fillId="11" borderId="32" xfId="0" applyFont="1" applyFill="1" applyBorder="1" applyAlignment="1">
      <alignment horizontal="center"/>
    </xf>
    <xf numFmtId="43" fontId="2" fillId="11" borderId="32" xfId="0" applyNumberFormat="1" applyFont="1" applyFill="1" applyBorder="1" applyAlignment="1">
      <alignment horizontal="right"/>
    </xf>
    <xf numFmtId="43" fontId="2" fillId="11" borderId="32" xfId="0" applyNumberFormat="1" applyFont="1" applyFill="1" applyBorder="1"/>
    <xf numFmtId="43" fontId="2" fillId="11" borderId="33" xfId="0" applyNumberFormat="1" applyFont="1" applyFill="1" applyBorder="1"/>
    <xf numFmtId="0" fontId="8" fillId="0" borderId="31" xfId="0" applyFont="1" applyBorder="1"/>
    <xf numFmtId="0" fontId="2" fillId="0" borderId="32" xfId="0" applyFont="1" applyBorder="1"/>
    <xf numFmtId="0" fontId="4" fillId="0" borderId="32" xfId="0" applyFont="1" applyFill="1" applyBorder="1" applyAlignment="1">
      <alignment vertical="top" wrapText="1"/>
    </xf>
    <xf numFmtId="2" fontId="4" fillId="0" borderId="32" xfId="1" applyNumberFormat="1" applyFont="1" applyBorder="1" applyAlignment="1">
      <alignment horizontal="center" wrapText="1"/>
    </xf>
    <xf numFmtId="0" fontId="4" fillId="0" borderId="32" xfId="0" applyFont="1" applyBorder="1" applyAlignment="1">
      <alignment horizontal="center" wrapText="1"/>
    </xf>
    <xf numFmtId="43" fontId="4" fillId="0" borderId="32" xfId="0" applyNumberFormat="1" applyFont="1" applyBorder="1" applyAlignment="1">
      <alignment horizontal="right"/>
    </xf>
    <xf numFmtId="43" fontId="2" fillId="0" borderId="32" xfId="2" applyNumberFormat="1" applyFont="1" applyBorder="1"/>
    <xf numFmtId="43" fontId="4" fillId="0" borderId="32" xfId="1" applyNumberFormat="1" applyFont="1" applyBorder="1" applyAlignment="1">
      <alignment vertical="center"/>
    </xf>
    <xf numFmtId="43" fontId="3" fillId="0" borderId="33" xfId="0" applyNumberFormat="1" applyFont="1" applyBorder="1"/>
    <xf numFmtId="0" fontId="4" fillId="0" borderId="32" xfId="0" applyFont="1" applyFill="1" applyBorder="1" applyAlignment="1">
      <alignment vertical="top"/>
    </xf>
    <xf numFmtId="2" fontId="4" fillId="0" borderId="32" xfId="1" applyNumberFormat="1" applyFont="1" applyBorder="1" applyAlignment="1">
      <alignment horizontal="center" vertical="center"/>
    </xf>
    <xf numFmtId="43" fontId="4" fillId="0" borderId="32" xfId="1" applyNumberFormat="1" applyFont="1" applyBorder="1" applyAlignment="1">
      <alignment vertical="center" wrapText="1"/>
    </xf>
    <xf numFmtId="43" fontId="4" fillId="0" borderId="33" xfId="0" applyNumberFormat="1" applyFont="1" applyBorder="1"/>
    <xf numFmtId="0" fontId="3" fillId="0" borderId="32" xfId="0" applyFont="1" applyFill="1" applyBorder="1" applyAlignment="1">
      <alignment vertical="top"/>
    </xf>
    <xf numFmtId="2" fontId="3" fillId="0" borderId="32" xfId="1" applyNumberFormat="1" applyFont="1" applyBorder="1" applyAlignment="1">
      <alignment horizontal="center" vertical="center"/>
    </xf>
    <xf numFmtId="43" fontId="3" fillId="0" borderId="32" xfId="1" applyFont="1" applyBorder="1" applyAlignment="1">
      <alignment horizontal="center" vertical="center"/>
    </xf>
    <xf numFmtId="43" fontId="3" fillId="0" borderId="32" xfId="0" applyNumberFormat="1" applyFont="1" applyBorder="1" applyAlignment="1">
      <alignment horizontal="right"/>
    </xf>
    <xf numFmtId="43" fontId="3" fillId="0" borderId="32" xfId="1" applyNumberFormat="1" applyFont="1" applyBorder="1" applyAlignment="1">
      <alignment vertical="center" wrapText="1"/>
    </xf>
    <xf numFmtId="0" fontId="2" fillId="0" borderId="32" xfId="0" applyFont="1" applyFill="1" applyBorder="1"/>
    <xf numFmtId="0" fontId="13" fillId="0" borderId="0" xfId="0" applyFont="1"/>
    <xf numFmtId="0" fontId="8" fillId="0" borderId="31" xfId="0" applyFont="1" applyFill="1" applyBorder="1"/>
    <xf numFmtId="0" fontId="2" fillId="0" borderId="32" xfId="0" applyFont="1" applyFill="1" applyBorder="1" applyAlignment="1">
      <alignment horizontal="left"/>
    </xf>
    <xf numFmtId="2" fontId="4" fillId="0" borderId="32" xfId="0" applyNumberFormat="1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43" fontId="4" fillId="0" borderId="32" xfId="0" applyNumberFormat="1" applyFont="1" applyFill="1" applyBorder="1" applyAlignment="1">
      <alignment horizontal="right"/>
    </xf>
    <xf numFmtId="43" fontId="4" fillId="0" borderId="32" xfId="0" applyNumberFormat="1" applyFont="1" applyFill="1" applyBorder="1"/>
    <xf numFmtId="43" fontId="4" fillId="0" borderId="33" xfId="0" applyNumberFormat="1" applyFont="1" applyFill="1" applyBorder="1"/>
    <xf numFmtId="43" fontId="4" fillId="0" borderId="32" xfId="0" applyNumberFormat="1" applyFont="1" applyFill="1" applyBorder="1" applyAlignment="1">
      <alignment horizontal="right" wrapText="1"/>
    </xf>
    <xf numFmtId="3" fontId="4" fillId="0" borderId="32" xfId="0" applyNumberFormat="1" applyFont="1" applyFill="1" applyBorder="1" applyAlignment="1">
      <alignment horizontal="left" vertical="center"/>
    </xf>
    <xf numFmtId="43" fontId="4" fillId="0" borderId="32" xfId="1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wrapText="1"/>
    </xf>
    <xf numFmtId="43" fontId="3" fillId="0" borderId="33" xfId="1" applyNumberFormat="1" applyFont="1" applyBorder="1" applyAlignment="1">
      <alignment vertical="center" wrapText="1"/>
    </xf>
    <xf numFmtId="0" fontId="7" fillId="11" borderId="31" xfId="0" applyFont="1" applyFill="1" applyBorder="1" applyAlignment="1">
      <alignment horizontal="left" vertical="center" wrapText="1"/>
    </xf>
    <xf numFmtId="0" fontId="4" fillId="11" borderId="32" xfId="0" applyFont="1" applyFill="1" applyBorder="1" applyAlignment="1">
      <alignment horizontal="left" vertical="center" wrapText="1"/>
    </xf>
    <xf numFmtId="0" fontId="2" fillId="11" borderId="32" xfId="0" applyFont="1" applyFill="1" applyBorder="1" applyAlignment="1">
      <alignment vertical="center"/>
    </xf>
    <xf numFmtId="2" fontId="2" fillId="11" borderId="32" xfId="0" applyNumberFormat="1" applyFont="1" applyFill="1" applyBorder="1" applyAlignment="1">
      <alignment horizontal="center"/>
    </xf>
    <xf numFmtId="0" fontId="2" fillId="11" borderId="32" xfId="0" applyFont="1" applyFill="1" applyBorder="1"/>
    <xf numFmtId="0" fontId="2" fillId="11" borderId="32" xfId="0" applyFont="1" applyFill="1" applyBorder="1" applyAlignment="1">
      <alignment horizontal="right"/>
    </xf>
    <xf numFmtId="0" fontId="2" fillId="11" borderId="33" xfId="0" applyFont="1" applyFill="1" applyBorder="1"/>
    <xf numFmtId="0" fontId="7" fillId="0" borderId="31" xfId="0" applyFont="1" applyFill="1" applyBorder="1" applyAlignment="1">
      <alignment horizontal="left" vertical="center"/>
    </xf>
    <xf numFmtId="0" fontId="4" fillId="0" borderId="32" xfId="0" applyFont="1" applyFill="1" applyBorder="1" applyAlignment="1">
      <alignment horizontal="left" vertical="center" wrapText="1"/>
    </xf>
    <xf numFmtId="2" fontId="2" fillId="0" borderId="32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2" xfId="0" applyFont="1" applyBorder="1" applyAlignment="1">
      <alignment horizontal="right"/>
    </xf>
    <xf numFmtId="43" fontId="2" fillId="0" borderId="32" xfId="2" applyNumberFormat="1" applyFont="1" applyBorder="1" applyAlignment="1">
      <alignment horizontal="center"/>
    </xf>
    <xf numFmtId="0" fontId="9" fillId="0" borderId="31" xfId="0" applyFont="1" applyFill="1" applyBorder="1" applyAlignment="1">
      <alignment horizontal="left" vertical="center"/>
    </xf>
    <xf numFmtId="0" fontId="3" fillId="0" borderId="32" xfId="0" applyFont="1" applyFill="1" applyBorder="1" applyAlignment="1">
      <alignment horizontal="left" vertical="center" wrapText="1"/>
    </xf>
    <xf numFmtId="2" fontId="1" fillId="0" borderId="32" xfId="0" applyNumberFormat="1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2" fontId="1" fillId="0" borderId="33" xfId="0" applyNumberFormat="1" applyFont="1" applyBorder="1" applyAlignment="1">
      <alignment horizontal="center"/>
    </xf>
    <xf numFmtId="2" fontId="4" fillId="0" borderId="32" xfId="1" applyNumberFormat="1" applyFont="1" applyBorder="1" applyAlignment="1">
      <alignment horizontal="center" vertical="center" wrapText="1"/>
    </xf>
    <xf numFmtId="49" fontId="2" fillId="0" borderId="32" xfId="0" applyNumberFormat="1" applyFont="1" applyFill="1" applyBorder="1" applyAlignment="1"/>
    <xf numFmtId="49" fontId="3" fillId="0" borderId="32" xfId="0" applyNumberFormat="1" applyFont="1" applyFill="1" applyBorder="1" applyAlignment="1">
      <alignment horizontal="left"/>
    </xf>
    <xf numFmtId="2" fontId="3" fillId="0" borderId="32" xfId="4" applyNumberFormat="1" applyFont="1" applyBorder="1" applyAlignment="1">
      <alignment horizontal="center" vertical="center"/>
    </xf>
    <xf numFmtId="165" fontId="3" fillId="0" borderId="32" xfId="4" applyFont="1" applyBorder="1" applyAlignment="1">
      <alignment horizontal="center" vertical="center"/>
    </xf>
    <xf numFmtId="43" fontId="3" fillId="0" borderId="32" xfId="4" applyNumberFormat="1" applyFont="1" applyBorder="1" applyAlignment="1">
      <alignment vertical="center"/>
    </xf>
    <xf numFmtId="43" fontId="3" fillId="0" borderId="33" xfId="4" applyNumberFormat="1" applyFont="1" applyBorder="1" applyAlignment="1">
      <alignment vertical="center"/>
    </xf>
    <xf numFmtId="43" fontId="4" fillId="0" borderId="32" xfId="1" applyFont="1" applyFill="1" applyBorder="1" applyAlignment="1">
      <alignment horizontal="center"/>
    </xf>
    <xf numFmtId="43" fontId="4" fillId="0" borderId="32" xfId="1" applyNumberFormat="1" applyFont="1" applyFill="1" applyBorder="1" applyAlignment="1">
      <alignment horizontal="right" wrapText="1"/>
    </xf>
    <xf numFmtId="43" fontId="3" fillId="0" borderId="33" xfId="1" applyNumberFormat="1" applyFont="1" applyFill="1" applyBorder="1" applyAlignment="1">
      <alignment horizontal="center" vertical="center"/>
    </xf>
    <xf numFmtId="49" fontId="2" fillId="0" borderId="32" xfId="5" applyNumberFormat="1" applyFont="1" applyFill="1" applyBorder="1" applyAlignment="1">
      <alignment horizontal="left"/>
    </xf>
    <xf numFmtId="49" fontId="3" fillId="0" borderId="32" xfId="5" applyNumberFormat="1" applyFont="1" applyFill="1" applyBorder="1" applyAlignment="1">
      <alignment horizontal="left"/>
    </xf>
    <xf numFmtId="2" fontId="3" fillId="0" borderId="32" xfId="0" applyNumberFormat="1" applyFont="1" applyFill="1" applyBorder="1" applyAlignment="1">
      <alignment horizontal="center" wrapText="1"/>
    </xf>
    <xf numFmtId="4" fontId="3" fillId="0" borderId="32" xfId="0" applyNumberFormat="1" applyFont="1" applyFill="1" applyBorder="1" applyAlignment="1">
      <alignment horizontal="center"/>
    </xf>
    <xf numFmtId="2" fontId="1" fillId="0" borderId="32" xfId="0" applyNumberFormat="1" applyFont="1" applyBorder="1"/>
    <xf numFmtId="43" fontId="4" fillId="0" borderId="32" xfId="1" applyNumberFormat="1" applyFont="1" applyFill="1" applyBorder="1" applyAlignment="1">
      <alignment horizontal="left" vertical="center"/>
    </xf>
    <xf numFmtId="43" fontId="4" fillId="0" borderId="33" xfId="1" applyNumberFormat="1" applyFont="1" applyFill="1" applyBorder="1" applyAlignment="1">
      <alignment horizontal="center" vertical="center"/>
    </xf>
    <xf numFmtId="0" fontId="5" fillId="0" borderId="32" xfId="0" applyFont="1" applyBorder="1"/>
    <xf numFmtId="43" fontId="4" fillId="0" borderId="32" xfId="1" applyFont="1" applyBorder="1" applyAlignment="1">
      <alignment horizontal="right" vertical="center" wrapText="1"/>
    </xf>
    <xf numFmtId="43" fontId="4" fillId="0" borderId="32" xfId="1" applyNumberFormat="1" applyFont="1" applyFill="1" applyBorder="1" applyAlignment="1">
      <alignment horizontal="center" vertical="center"/>
    </xf>
    <xf numFmtId="0" fontId="2" fillId="12" borderId="32" xfId="0" applyFont="1" applyFill="1" applyBorder="1"/>
    <xf numFmtId="0" fontId="5" fillId="0" borderId="31" xfId="0" applyFont="1" applyBorder="1"/>
    <xf numFmtId="0" fontId="2" fillId="9" borderId="20" xfId="0" applyFont="1" applyFill="1" applyBorder="1" applyAlignment="1">
      <alignment horizontal="center"/>
    </xf>
    <xf numFmtId="43" fontId="2" fillId="9" borderId="39" xfId="2" applyNumberFormat="1" applyFont="1" applyFill="1" applyBorder="1"/>
    <xf numFmtId="43" fontId="2" fillId="9" borderId="41" xfId="2" applyNumberFormat="1" applyFont="1" applyFill="1" applyBorder="1"/>
    <xf numFmtId="43" fontId="2" fillId="9" borderId="42" xfId="2" applyNumberFormat="1" applyFont="1" applyFill="1" applyBorder="1" applyAlignment="1">
      <alignment horizontal="center" wrapText="1"/>
    </xf>
    <xf numFmtId="43" fontId="2" fillId="5" borderId="54" xfId="2" applyNumberFormat="1" applyFont="1" applyFill="1" applyBorder="1" applyAlignment="1">
      <alignment vertical="center"/>
    </xf>
    <xf numFmtId="0" fontId="2" fillId="5" borderId="48" xfId="0" applyFont="1" applyFill="1" applyBorder="1" applyAlignment="1">
      <alignment horizontal="left"/>
    </xf>
    <xf numFmtId="0" fontId="2" fillId="5" borderId="49" xfId="0" applyFont="1" applyFill="1" applyBorder="1" applyAlignment="1">
      <alignment horizontal="left"/>
    </xf>
    <xf numFmtId="0" fontId="2" fillId="5" borderId="57" xfId="0" applyFont="1" applyFill="1" applyBorder="1" applyAlignment="1">
      <alignment horizontal="center"/>
    </xf>
    <xf numFmtId="43" fontId="2" fillId="5" borderId="58" xfId="2" applyNumberFormat="1" applyFont="1" applyFill="1" applyBorder="1"/>
    <xf numFmtId="43" fontId="2" fillId="5" borderId="59" xfId="2" applyNumberFormat="1" applyFont="1" applyFill="1" applyBorder="1"/>
    <xf numFmtId="0" fontId="2" fillId="5" borderId="51" xfId="0" applyFont="1" applyFill="1" applyBorder="1" applyAlignment="1">
      <alignment horizontal="center"/>
    </xf>
    <xf numFmtId="0" fontId="2" fillId="5" borderId="52" xfId="0" applyFont="1" applyFill="1" applyBorder="1" applyAlignment="1">
      <alignment horizontal="center"/>
    </xf>
    <xf numFmtId="0" fontId="2" fillId="5" borderId="61" xfId="0" applyFont="1" applyFill="1" applyBorder="1" applyAlignment="1">
      <alignment horizontal="left"/>
    </xf>
    <xf numFmtId="0" fontId="2" fillId="5" borderId="62" xfId="0" applyFont="1" applyFill="1" applyBorder="1" applyAlignment="1">
      <alignment horizontal="left"/>
    </xf>
    <xf numFmtId="0" fontId="2" fillId="5" borderId="61" xfId="0" applyFont="1" applyFill="1" applyBorder="1" applyAlignment="1">
      <alignment horizontal="center"/>
    </xf>
    <xf numFmtId="43" fontId="2" fillId="5" borderId="65" xfId="2" applyNumberFormat="1" applyFont="1" applyFill="1" applyBorder="1"/>
    <xf numFmtId="43" fontId="2" fillId="5" borderId="66" xfId="2" applyNumberFormat="1" applyFont="1" applyFill="1" applyBorder="1"/>
    <xf numFmtId="43" fontId="2" fillId="5" borderId="67" xfId="2" applyNumberFormat="1" applyFont="1" applyFill="1" applyBorder="1" applyAlignment="1">
      <alignment vertical="center"/>
    </xf>
    <xf numFmtId="165" fontId="4" fillId="0" borderId="14" xfId="0" applyNumberFormat="1" applyFont="1" applyBorder="1" applyAlignment="1">
      <alignment horizontal="center" vertical="center"/>
    </xf>
    <xf numFmtId="43" fontId="4" fillId="8" borderId="13" xfId="2" applyNumberFormat="1" applyFont="1" applyFill="1" applyBorder="1" applyAlignment="1">
      <alignment horizontal="center"/>
    </xf>
    <xf numFmtId="165" fontId="4" fillId="8" borderId="14" xfId="0" applyNumberFormat="1" applyFont="1" applyFill="1" applyBorder="1" applyAlignment="1">
      <alignment horizontal="center" vertical="center"/>
    </xf>
    <xf numFmtId="0" fontId="9" fillId="7" borderId="13" xfId="0" applyFont="1" applyFill="1" applyBorder="1"/>
    <xf numFmtId="0" fontId="7" fillId="0" borderId="12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vertical="center"/>
    </xf>
    <xf numFmtId="0" fontId="4" fillId="0" borderId="13" xfId="0" applyFont="1" applyFill="1" applyBorder="1"/>
    <xf numFmtId="0" fontId="7" fillId="0" borderId="13" xfId="0" applyFont="1" applyFill="1" applyBorder="1"/>
    <xf numFmtId="0" fontId="4" fillId="0" borderId="13" xfId="0" applyFont="1" applyBorder="1" applyAlignment="1"/>
    <xf numFmtId="0" fontId="7" fillId="4" borderId="17" xfId="0" applyFont="1" applyFill="1" applyBorder="1" applyAlignment="1">
      <alignment horizontal="center"/>
    </xf>
    <xf numFmtId="164" fontId="4" fillId="0" borderId="6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15" borderId="4" xfId="0" applyFont="1" applyFill="1" applyBorder="1"/>
    <xf numFmtId="0" fontId="2" fillId="15" borderId="5" xfId="0" applyFont="1" applyFill="1" applyBorder="1" applyAlignment="1">
      <alignment wrapText="1"/>
    </xf>
    <xf numFmtId="0" fontId="4" fillId="15" borderId="5" xfId="0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/>
    </xf>
    <xf numFmtId="164" fontId="3" fillId="4" borderId="6" xfId="0" applyNumberFormat="1" applyFont="1" applyFill="1" applyBorder="1" applyAlignment="1">
      <alignment horizontal="center" vertical="center"/>
    </xf>
    <xf numFmtId="164" fontId="3" fillId="13" borderId="6" xfId="0" applyNumberFormat="1" applyFont="1" applyFill="1" applyBorder="1" applyAlignment="1">
      <alignment horizontal="center" vertical="center"/>
    </xf>
    <xf numFmtId="2" fontId="3" fillId="5" borderId="5" xfId="0" applyNumberFormat="1" applyFont="1" applyFill="1" applyBorder="1" applyAlignment="1">
      <alignment horizontal="center" vertical="center"/>
    </xf>
    <xf numFmtId="0" fontId="2" fillId="15" borderId="5" xfId="0" applyFont="1" applyFill="1" applyBorder="1" applyAlignment="1">
      <alignment horizontal="left"/>
    </xf>
    <xf numFmtId="2" fontId="2" fillId="0" borderId="6" xfId="0" applyNumberFormat="1" applyFont="1" applyFill="1" applyBorder="1"/>
    <xf numFmtId="0" fontId="2" fillId="0" borderId="5" xfId="0" applyFont="1" applyFill="1" applyBorder="1" applyAlignment="1">
      <alignment horizontal="right"/>
    </xf>
    <xf numFmtId="2" fontId="2" fillId="0" borderId="5" xfId="0" applyNumberFormat="1" applyFont="1" applyFill="1" applyBorder="1"/>
    <xf numFmtId="2" fontId="2" fillId="4" borderId="6" xfId="0" applyNumberFormat="1" applyFont="1" applyFill="1" applyBorder="1"/>
    <xf numFmtId="2" fontId="5" fillId="0" borderId="5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right"/>
    </xf>
    <xf numFmtId="43" fontId="4" fillId="0" borderId="33" xfId="1" applyNumberFormat="1" applyFont="1" applyBorder="1" applyAlignment="1">
      <alignment vertical="center" wrapText="1"/>
    </xf>
    <xf numFmtId="165" fontId="4" fillId="0" borderId="32" xfId="0" applyNumberFormat="1" applyFont="1" applyBorder="1"/>
    <xf numFmtId="43" fontId="4" fillId="0" borderId="32" xfId="1" applyFont="1" applyBorder="1" applyAlignment="1">
      <alignment horizontal="right" vertical="center"/>
    </xf>
    <xf numFmtId="0" fontId="4" fillId="0" borderId="33" xfId="0" applyFont="1" applyBorder="1"/>
    <xf numFmtId="165" fontId="4" fillId="0" borderId="32" xfId="0" applyNumberFormat="1" applyFont="1" applyFill="1" applyBorder="1"/>
    <xf numFmtId="165" fontId="3" fillId="0" borderId="32" xfId="0" applyNumberFormat="1" applyFont="1" applyBorder="1"/>
    <xf numFmtId="43" fontId="3" fillId="0" borderId="32" xfId="1" applyFont="1" applyBorder="1" applyAlignment="1">
      <alignment horizontal="right" vertical="center" wrapText="1"/>
    </xf>
    <xf numFmtId="165" fontId="3" fillId="0" borderId="33" xfId="0" applyNumberFormat="1" applyFont="1" applyBorder="1"/>
    <xf numFmtId="0" fontId="8" fillId="9" borderId="37" xfId="0" applyFont="1" applyFill="1" applyBorder="1"/>
    <xf numFmtId="0" fontId="8" fillId="5" borderId="56" xfId="0" applyFont="1" applyFill="1" applyBorder="1"/>
    <xf numFmtId="0" fontId="8" fillId="5" borderId="60" xfId="0" applyFont="1" applyFill="1" applyBorder="1"/>
    <xf numFmtId="164" fontId="4" fillId="13" borderId="6" xfId="0" applyNumberFormat="1" applyFont="1" applyFill="1" applyBorder="1" applyAlignment="1">
      <alignment horizontal="center" vertical="center"/>
    </xf>
    <xf numFmtId="0" fontId="3" fillId="15" borderId="5" xfId="0" applyFont="1" applyFill="1" applyBorder="1" applyAlignment="1">
      <alignment horizontal="center" vertical="center" wrapText="1"/>
    </xf>
    <xf numFmtId="164" fontId="4" fillId="14" borderId="6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wrapText="1"/>
    </xf>
    <xf numFmtId="0" fontId="7" fillId="0" borderId="17" xfId="0" applyFont="1" applyFill="1" applyBorder="1" applyAlignment="1">
      <alignment horizontal="left" vertical="center"/>
    </xf>
    <xf numFmtId="0" fontId="8" fillId="12" borderId="31" xfId="0" applyFont="1" applyFill="1" applyBorder="1"/>
    <xf numFmtId="3" fontId="4" fillId="12" borderId="32" xfId="0" applyNumberFormat="1" applyFont="1" applyFill="1" applyBorder="1" applyAlignment="1">
      <alignment horizontal="left" vertical="center"/>
    </xf>
    <xf numFmtId="0" fontId="4" fillId="12" borderId="32" xfId="0" applyFont="1" applyFill="1" applyBorder="1" applyAlignment="1">
      <alignment vertical="top" wrapText="1"/>
    </xf>
    <xf numFmtId="2" fontId="4" fillId="12" borderId="32" xfId="1" applyNumberFormat="1" applyFont="1" applyFill="1" applyBorder="1" applyAlignment="1">
      <alignment horizontal="center" vertical="center"/>
    </xf>
    <xf numFmtId="0" fontId="4" fillId="12" borderId="32" xfId="0" applyFont="1" applyFill="1" applyBorder="1" applyAlignment="1">
      <alignment horizontal="center" wrapText="1"/>
    </xf>
    <xf numFmtId="43" fontId="4" fillId="12" borderId="32" xfId="0" applyNumberFormat="1" applyFont="1" applyFill="1" applyBorder="1" applyAlignment="1">
      <alignment horizontal="right"/>
    </xf>
    <xf numFmtId="43" fontId="4" fillId="12" borderId="32" xfId="1" applyNumberFormat="1" applyFont="1" applyFill="1" applyBorder="1" applyAlignment="1">
      <alignment vertical="center" wrapText="1"/>
    </xf>
    <xf numFmtId="43" fontId="4" fillId="12" borderId="33" xfId="1" applyNumberFormat="1" applyFont="1" applyFill="1" applyBorder="1" applyAlignment="1">
      <alignment vertical="center" wrapText="1"/>
    </xf>
    <xf numFmtId="0" fontId="8" fillId="12" borderId="31" xfId="0" applyFont="1" applyFill="1" applyBorder="1" applyAlignment="1">
      <alignment horizontal="left"/>
    </xf>
    <xf numFmtId="0" fontId="2" fillId="15" borderId="4" xfId="0" applyFont="1" applyFill="1" applyBorder="1" applyAlignment="1">
      <alignment vertical="center"/>
    </xf>
    <xf numFmtId="0" fontId="7" fillId="16" borderId="12" xfId="0" applyFont="1" applyFill="1" applyBorder="1" applyAlignment="1">
      <alignment horizontal="left"/>
    </xf>
    <xf numFmtId="0" fontId="7" fillId="16" borderId="17" xfId="0" applyFont="1" applyFill="1" applyBorder="1" applyAlignment="1">
      <alignment horizontal="left"/>
    </xf>
    <xf numFmtId="0" fontId="4" fillId="16" borderId="13" xfId="0" applyFont="1" applyFill="1" applyBorder="1"/>
    <xf numFmtId="43" fontId="4" fillId="16" borderId="13" xfId="0" applyNumberFormat="1" applyFont="1" applyFill="1" applyBorder="1" applyAlignment="1">
      <alignment horizontal="center"/>
    </xf>
    <xf numFmtId="43" fontId="4" fillId="16" borderId="13" xfId="2" applyNumberFormat="1" applyFont="1" applyFill="1" applyBorder="1" applyAlignment="1">
      <alignment horizontal="center"/>
    </xf>
    <xf numFmtId="43" fontId="4" fillId="16" borderId="13" xfId="1" applyNumberFormat="1" applyFont="1" applyFill="1" applyBorder="1"/>
    <xf numFmtId="165" fontId="3" fillId="16" borderId="14" xfId="0" applyNumberFormat="1" applyFont="1" applyFill="1" applyBorder="1"/>
    <xf numFmtId="43" fontId="4" fillId="0" borderId="13" xfId="0" applyNumberFormat="1" applyFont="1" applyFill="1" applyBorder="1" applyAlignment="1">
      <alignment horizontal="center"/>
    </xf>
    <xf numFmtId="0" fontId="4" fillId="12" borderId="32" xfId="0" applyFont="1" applyFill="1" applyBorder="1" applyAlignment="1">
      <alignment vertical="top"/>
    </xf>
    <xf numFmtId="0" fontId="0" fillId="0" borderId="0" xfId="0"/>
    <xf numFmtId="0" fontId="9" fillId="0" borderId="13" xfId="0" applyFont="1" applyBorder="1"/>
    <xf numFmtId="43" fontId="9" fillId="0" borderId="13" xfId="0" applyNumberFormat="1" applyFont="1" applyBorder="1"/>
    <xf numFmtId="43" fontId="9" fillId="0" borderId="13" xfId="0" applyNumberFormat="1" applyFont="1" applyFill="1" applyBorder="1"/>
    <xf numFmtId="43" fontId="9" fillId="0" borderId="71" xfId="0" applyNumberFormat="1" applyFont="1" applyBorder="1"/>
    <xf numFmtId="167" fontId="7" fillId="0" borderId="71" xfId="20" applyNumberFormat="1" applyFont="1" applyBorder="1" applyAlignment="1">
      <alignment horizontal="center"/>
    </xf>
    <xf numFmtId="9" fontId="7" fillId="0" borderId="13" xfId="20" applyFont="1" applyFill="1" applyBorder="1" applyAlignment="1">
      <alignment horizontal="center" vertical="center"/>
    </xf>
    <xf numFmtId="43" fontId="7" fillId="7" borderId="12" xfId="20" applyNumberFormat="1" applyFont="1" applyFill="1" applyBorder="1" applyAlignment="1">
      <alignment horizontal="center" vertical="center"/>
    </xf>
    <xf numFmtId="9" fontId="7" fillId="0" borderId="13" xfId="20" applyNumberFormat="1" applyFont="1" applyFill="1" applyBorder="1" applyAlignment="1">
      <alignment horizontal="center" vertical="center"/>
    </xf>
    <xf numFmtId="167" fontId="7" fillId="0" borderId="71" xfId="20" applyNumberFormat="1" applyFont="1" applyFill="1" applyBorder="1" applyAlignment="1">
      <alignment horizontal="center"/>
    </xf>
    <xf numFmtId="43" fontId="7" fillId="0" borderId="13" xfId="0" applyNumberFormat="1" applyFont="1" applyFill="1" applyBorder="1"/>
    <xf numFmtId="43" fontId="7" fillId="0" borderId="13" xfId="6" applyNumberFormat="1" applyFont="1" applyFill="1" applyBorder="1" applyAlignment="1">
      <alignment horizontal="center"/>
    </xf>
    <xf numFmtId="9" fontId="7" fillId="0" borderId="13" xfId="20" applyNumberFormat="1" applyFont="1" applyFill="1" applyBorder="1" applyAlignment="1">
      <alignment horizontal="center"/>
    </xf>
    <xf numFmtId="43" fontId="7" fillId="0" borderId="13" xfId="20" applyNumberFormat="1" applyFont="1" applyFill="1" applyBorder="1" applyAlignment="1"/>
    <xf numFmtId="9" fontId="7" fillId="0" borderId="13" xfId="20" applyFont="1" applyFill="1" applyBorder="1" applyAlignment="1"/>
    <xf numFmtId="9" fontId="7" fillId="0" borderId="13" xfId="20" applyFont="1" applyFill="1" applyBorder="1" applyAlignment="1">
      <alignment horizontal="center"/>
    </xf>
    <xf numFmtId="43" fontId="7" fillId="0" borderId="13" xfId="6" applyNumberFormat="1" applyFont="1" applyFill="1" applyBorder="1" applyAlignment="1"/>
    <xf numFmtId="0" fontId="9" fillId="0" borderId="13" xfId="0" applyFont="1" applyBorder="1" applyAlignment="1">
      <alignment horizontal="left"/>
    </xf>
    <xf numFmtId="43" fontId="9" fillId="4" borderId="72" xfId="0" applyNumberFormat="1" applyFont="1" applyFill="1" applyBorder="1"/>
    <xf numFmtId="9" fontId="9" fillId="4" borderId="72" xfId="0" applyNumberFormat="1" applyFont="1" applyFill="1" applyBorder="1" applyAlignment="1">
      <alignment horizontal="center"/>
    </xf>
    <xf numFmtId="43" fontId="9" fillId="4" borderId="72" xfId="6" applyNumberFormat="1" applyFont="1" applyFill="1" applyBorder="1" applyAlignment="1"/>
    <xf numFmtId="43" fontId="9" fillId="4" borderId="73" xfId="0" applyNumberFormat="1" applyFont="1" applyFill="1" applyBorder="1"/>
    <xf numFmtId="43" fontId="4" fillId="0" borderId="71" xfId="1" applyNumberFormat="1" applyFont="1" applyBorder="1"/>
    <xf numFmtId="43" fontId="4" fillId="0" borderId="71" xfId="1" applyNumberFormat="1" applyFont="1" applyBorder="1" applyAlignment="1">
      <alignment horizontal="center"/>
    </xf>
    <xf numFmtId="43" fontId="4" fillId="16" borderId="71" xfId="1" applyNumberFormat="1" applyFont="1" applyFill="1" applyBorder="1"/>
    <xf numFmtId="43" fontId="4" fillId="4" borderId="76" xfId="2" applyNumberFormat="1" applyFont="1" applyFill="1" applyBorder="1" applyAlignment="1">
      <alignment horizontal="center"/>
    </xf>
    <xf numFmtId="43" fontId="4" fillId="4" borderId="28" xfId="2" applyNumberFormat="1" applyFont="1" applyFill="1" applyBorder="1" applyAlignment="1">
      <alignment horizontal="center"/>
    </xf>
    <xf numFmtId="43" fontId="4" fillId="4" borderId="77" xfId="0" applyNumberFormat="1" applyFont="1" applyFill="1" applyBorder="1" applyAlignment="1">
      <alignment horizontal="center"/>
    </xf>
    <xf numFmtId="43" fontId="4" fillId="4" borderId="79" xfId="0" applyNumberFormat="1" applyFont="1" applyFill="1" applyBorder="1" applyAlignment="1">
      <alignment horizontal="center"/>
    </xf>
    <xf numFmtId="43" fontId="4" fillId="4" borderId="82" xfId="0" applyNumberFormat="1" applyFont="1" applyFill="1" applyBorder="1" applyAlignment="1">
      <alignment horizontal="center"/>
    </xf>
    <xf numFmtId="0" fontId="4" fillId="4" borderId="83" xfId="0" applyFont="1" applyFill="1" applyBorder="1" applyAlignment="1">
      <alignment horizontal="center"/>
    </xf>
    <xf numFmtId="43" fontId="4" fillId="4" borderId="84" xfId="0" applyNumberFormat="1" applyFont="1" applyFill="1" applyBorder="1" applyAlignment="1">
      <alignment horizontal="center"/>
    </xf>
    <xf numFmtId="0" fontId="4" fillId="4" borderId="85" xfId="0" applyFont="1" applyFill="1" applyBorder="1" applyAlignment="1">
      <alignment horizontal="center"/>
    </xf>
    <xf numFmtId="0" fontId="4" fillId="4" borderId="81" xfId="0" applyFont="1" applyFill="1" applyBorder="1" applyAlignment="1">
      <alignment horizontal="center"/>
    </xf>
    <xf numFmtId="0" fontId="4" fillId="4" borderId="91" xfId="0" applyFont="1" applyFill="1" applyBorder="1" applyAlignment="1">
      <alignment horizontal="center"/>
    </xf>
    <xf numFmtId="43" fontId="4" fillId="10" borderId="30" xfId="1" applyNumberFormat="1" applyFont="1" applyFill="1" applyBorder="1" applyAlignment="1">
      <alignment horizontal="center"/>
    </xf>
    <xf numFmtId="43" fontId="4" fillId="10" borderId="15" xfId="0" applyNumberFormat="1" applyFont="1" applyFill="1" applyBorder="1" applyAlignment="1">
      <alignment horizontal="center"/>
    </xf>
    <xf numFmtId="43" fontId="4" fillId="10" borderId="15" xfId="2" applyNumberFormat="1" applyFont="1" applyFill="1" applyBorder="1" applyAlignment="1">
      <alignment horizontal="center"/>
    </xf>
    <xf numFmtId="43" fontId="4" fillId="10" borderId="15" xfId="1" applyNumberFormat="1" applyFont="1" applyFill="1" applyBorder="1" applyAlignment="1">
      <alignment horizontal="center"/>
    </xf>
    <xf numFmtId="165" fontId="3" fillId="10" borderId="92" xfId="0" applyNumberFormat="1" applyFont="1" applyFill="1" applyBorder="1" applyAlignment="1">
      <alignment horizontal="center" vertical="center"/>
    </xf>
    <xf numFmtId="43" fontId="3" fillId="6" borderId="5" xfId="0" applyNumberFormat="1" applyFont="1" applyFill="1" applyBorder="1"/>
    <xf numFmtId="43" fontId="4" fillId="6" borderId="5" xfId="0" applyNumberFormat="1" applyFont="1" applyFill="1" applyBorder="1" applyAlignment="1">
      <alignment horizontal="center"/>
    </xf>
    <xf numFmtId="0" fontId="4" fillId="6" borderId="5" xfId="0" applyFont="1" applyFill="1" applyBorder="1"/>
    <xf numFmtId="43" fontId="4" fillId="6" borderId="5" xfId="6" applyNumberFormat="1" applyFont="1" applyFill="1" applyBorder="1"/>
    <xf numFmtId="9" fontId="7" fillId="0" borderId="94" xfId="20" applyFont="1" applyFill="1" applyBorder="1" applyAlignment="1">
      <alignment horizontal="center" vertical="center"/>
    </xf>
    <xf numFmtId="43" fontId="7" fillId="7" borderId="94" xfId="20" applyNumberFormat="1" applyFont="1" applyFill="1" applyBorder="1" applyAlignment="1">
      <alignment horizontal="center" vertical="center"/>
    </xf>
    <xf numFmtId="9" fontId="7" fillId="0" borderId="94" xfId="20" applyNumberFormat="1" applyFont="1" applyFill="1" applyBorder="1" applyAlignment="1">
      <alignment horizontal="center" vertical="center"/>
    </xf>
    <xf numFmtId="9" fontId="7" fillId="0" borderId="94" xfId="20" applyNumberFormat="1" applyFont="1" applyFill="1" applyBorder="1" applyAlignment="1">
      <alignment horizontal="center"/>
    </xf>
    <xf numFmtId="43" fontId="7" fillId="0" borderId="94" xfId="20" applyNumberFormat="1" applyFont="1" applyFill="1" applyBorder="1" applyAlignment="1"/>
    <xf numFmtId="9" fontId="7" fillId="0" borderId="94" xfId="20" applyFont="1" applyFill="1" applyBorder="1" applyAlignment="1"/>
    <xf numFmtId="43" fontId="7" fillId="0" borderId="94" xfId="6" applyNumberFormat="1" applyFont="1" applyFill="1" applyBorder="1" applyAlignment="1"/>
    <xf numFmtId="9" fontId="7" fillId="0" borderId="94" xfId="20" applyFont="1" applyFill="1" applyBorder="1" applyAlignment="1">
      <alignment horizontal="center"/>
    </xf>
    <xf numFmtId="0" fontId="9" fillId="0" borderId="15" xfId="0" applyFont="1" applyBorder="1" applyAlignment="1">
      <alignment horizontal="left"/>
    </xf>
    <xf numFmtId="43" fontId="9" fillId="0" borderId="15" xfId="0" applyNumberFormat="1" applyFont="1" applyBorder="1"/>
    <xf numFmtId="43" fontId="9" fillId="0" borderId="30" xfId="0" applyNumberFormat="1" applyFont="1" applyBorder="1"/>
    <xf numFmtId="167" fontId="7" fillId="0" borderId="30" xfId="20" applyNumberFormat="1" applyFont="1" applyBorder="1" applyAlignment="1">
      <alignment horizontal="center"/>
    </xf>
    <xf numFmtId="9" fontId="7" fillId="0" borderId="95" xfId="20" applyFont="1" applyFill="1" applyBorder="1" applyAlignment="1">
      <alignment horizontal="center"/>
    </xf>
    <xf numFmtId="9" fontId="7" fillId="0" borderId="15" xfId="20" applyFont="1" applyFill="1" applyBorder="1" applyAlignment="1">
      <alignment horizontal="center"/>
    </xf>
    <xf numFmtId="43" fontId="9" fillId="4" borderId="97" xfId="0" applyNumberFormat="1" applyFont="1" applyFill="1" applyBorder="1"/>
    <xf numFmtId="43" fontId="9" fillId="4" borderId="98" xfId="0" applyNumberFormat="1" applyFont="1" applyFill="1" applyBorder="1"/>
    <xf numFmtId="9" fontId="9" fillId="4" borderId="98" xfId="0" applyNumberFormat="1" applyFont="1" applyFill="1" applyBorder="1" applyAlignment="1">
      <alignment horizontal="center"/>
    </xf>
    <xf numFmtId="10" fontId="9" fillId="4" borderId="98" xfId="20" applyNumberFormat="1" applyFont="1" applyFill="1" applyBorder="1" applyAlignment="1">
      <alignment horizontal="center"/>
    </xf>
    <xf numFmtId="43" fontId="7" fillId="14" borderId="94" xfId="0" applyNumberFormat="1" applyFont="1" applyFill="1" applyBorder="1"/>
    <xf numFmtId="43" fontId="7" fillId="14" borderId="13" xfId="0" applyNumberFormat="1" applyFont="1" applyFill="1" applyBorder="1"/>
    <xf numFmtId="43" fontId="7" fillId="14" borderId="13" xfId="2" applyNumberFormat="1" applyFont="1" applyFill="1" applyBorder="1" applyAlignment="1">
      <alignment horizontal="center"/>
    </xf>
    <xf numFmtId="9" fontId="7" fillId="0" borderId="94" xfId="27" applyFont="1" applyFill="1" applyBorder="1" applyAlignment="1">
      <alignment horizontal="center"/>
    </xf>
    <xf numFmtId="9" fontId="7" fillId="0" borderId="13" xfId="27" applyFont="1" applyFill="1" applyBorder="1" applyAlignment="1">
      <alignment horizontal="center"/>
    </xf>
    <xf numFmtId="0" fontId="9" fillId="0" borderId="26" xfId="0" applyFont="1" applyBorder="1"/>
    <xf numFmtId="43" fontId="9" fillId="0" borderId="26" xfId="0" applyNumberFormat="1" applyFont="1" applyBorder="1"/>
    <xf numFmtId="43" fontId="9" fillId="0" borderId="27" xfId="0" applyNumberFormat="1" applyFont="1" applyBorder="1"/>
    <xf numFmtId="167" fontId="7" fillId="0" borderId="27" xfId="20" applyNumberFormat="1" applyFont="1" applyBorder="1" applyAlignment="1">
      <alignment horizontal="center"/>
    </xf>
    <xf numFmtId="43" fontId="7" fillId="7" borderId="99" xfId="26" applyNumberFormat="1" applyFont="1" applyFill="1" applyBorder="1" applyAlignment="1"/>
    <xf numFmtId="43" fontId="7" fillId="0" borderId="26" xfId="26" applyNumberFormat="1" applyFont="1" applyFill="1" applyBorder="1" applyAlignment="1"/>
    <xf numFmtId="1" fontId="7" fillId="4" borderId="5" xfId="0" applyNumberFormat="1" applyFont="1" applyFill="1" applyBorder="1" applyAlignment="1">
      <alignment horizontal="center" vertical="center"/>
    </xf>
    <xf numFmtId="0" fontId="7" fillId="4" borderId="101" xfId="0" applyFont="1" applyFill="1" applyBorder="1" applyAlignment="1">
      <alignment horizontal="center"/>
    </xf>
    <xf numFmtId="0" fontId="7" fillId="4" borderId="100" xfId="0" applyFont="1" applyFill="1" applyBorder="1" applyAlignment="1">
      <alignment horizontal="center"/>
    </xf>
    <xf numFmtId="0" fontId="3" fillId="6" borderId="0" xfId="0" applyFont="1" applyFill="1" applyBorder="1" applyAlignment="1" applyProtection="1">
      <alignment vertical="center"/>
      <protection locked="0"/>
    </xf>
    <xf numFmtId="0" fontId="9" fillId="6" borderId="0" xfId="0" applyFont="1" applyFill="1" applyBorder="1" applyAlignment="1" applyProtection="1">
      <alignment vertical="center"/>
      <protection locked="0"/>
    </xf>
    <xf numFmtId="0" fontId="0" fillId="10" borderId="0" xfId="0" applyFill="1" applyBorder="1"/>
    <xf numFmtId="0" fontId="0" fillId="6" borderId="0" xfId="0" applyFill="1" applyBorder="1"/>
    <xf numFmtId="0" fontId="0" fillId="6" borderId="8" xfId="0" applyFill="1" applyBorder="1"/>
    <xf numFmtId="0" fontId="0" fillId="10" borderId="23" xfId="0" applyFill="1" applyBorder="1"/>
    <xf numFmtId="0" fontId="0" fillId="6" borderId="23" xfId="0" applyFill="1" applyBorder="1"/>
    <xf numFmtId="0" fontId="0" fillId="6" borderId="24" xfId="0" applyFill="1" applyBorder="1"/>
    <xf numFmtId="0" fontId="2" fillId="17" borderId="19" xfId="0" applyFont="1" applyFill="1" applyBorder="1"/>
    <xf numFmtId="0" fontId="2" fillId="17" borderId="20" xfId="0" applyFont="1" applyFill="1" applyBorder="1"/>
    <xf numFmtId="10" fontId="2" fillId="17" borderId="21" xfId="20" applyNumberFormat="1" applyFont="1" applyFill="1" applyBorder="1" applyAlignment="1" applyProtection="1"/>
    <xf numFmtId="0" fontId="2" fillId="17" borderId="7" xfId="0" applyFont="1" applyFill="1" applyBorder="1"/>
    <xf numFmtId="0" fontId="2" fillId="17" borderId="0" xfId="0" applyFont="1" applyFill="1" applyBorder="1"/>
    <xf numFmtId="10" fontId="2" fillId="17" borderId="8" xfId="20" applyNumberFormat="1" applyFont="1" applyFill="1" applyBorder="1" applyAlignment="1" applyProtection="1"/>
    <xf numFmtId="0" fontId="3" fillId="17" borderId="22" xfId="0" applyFont="1" applyFill="1" applyBorder="1"/>
    <xf numFmtId="0" fontId="3" fillId="17" borderId="23" xfId="0" applyFont="1" applyFill="1" applyBorder="1"/>
    <xf numFmtId="0" fontId="2" fillId="17" borderId="23" xfId="0" applyFont="1" applyFill="1" applyBorder="1"/>
    <xf numFmtId="10" fontId="2" fillId="17" borderId="24" xfId="20" applyNumberFormat="1" applyFont="1" applyFill="1" applyBorder="1" applyAlignment="1" applyProtection="1"/>
    <xf numFmtId="0" fontId="2" fillId="17" borderId="102" xfId="0" applyFont="1" applyFill="1" applyBorder="1" applyAlignment="1">
      <alignment horizontal="center"/>
    </xf>
    <xf numFmtId="0" fontId="2" fillId="17" borderId="34" xfId="0" applyFont="1" applyFill="1" applyBorder="1"/>
    <xf numFmtId="0" fontId="2" fillId="17" borderId="35" xfId="0" applyFont="1" applyFill="1" applyBorder="1"/>
    <xf numFmtId="0" fontId="2" fillId="17" borderId="36" xfId="0" applyFont="1" applyFill="1" applyBorder="1"/>
    <xf numFmtId="10" fontId="2" fillId="17" borderId="102" xfId="20" applyNumberFormat="1" applyFont="1" applyFill="1" applyBorder="1" applyAlignment="1" applyProtection="1">
      <alignment horizontal="center"/>
    </xf>
    <xf numFmtId="0" fontId="2" fillId="17" borderId="19" xfId="0" applyFont="1" applyFill="1" applyBorder="1" applyAlignment="1">
      <alignment horizontal="center"/>
    </xf>
    <xf numFmtId="0" fontId="2" fillId="17" borderId="7" xfId="0" applyFont="1" applyFill="1" applyBorder="1" applyAlignment="1">
      <alignment horizontal="center"/>
    </xf>
    <xf numFmtId="0" fontId="3" fillId="17" borderId="22" xfId="0" applyFont="1" applyFill="1" applyBorder="1" applyAlignment="1">
      <alignment horizontal="center"/>
    </xf>
    <xf numFmtId="0" fontId="2" fillId="17" borderId="103" xfId="0" applyFont="1" applyFill="1" applyBorder="1" applyAlignment="1">
      <alignment horizontal="center"/>
    </xf>
    <xf numFmtId="0" fontId="2" fillId="17" borderId="21" xfId="0" applyFont="1" applyFill="1" applyBorder="1"/>
    <xf numFmtId="10" fontId="2" fillId="17" borderId="103" xfId="20" applyNumberFormat="1" applyFont="1" applyFill="1" applyBorder="1" applyAlignment="1" applyProtection="1">
      <alignment horizontal="center"/>
    </xf>
    <xf numFmtId="0" fontId="2" fillId="17" borderId="104" xfId="0" applyFont="1" applyFill="1" applyBorder="1" applyAlignment="1">
      <alignment horizontal="center"/>
    </xf>
    <xf numFmtId="0" fontId="2" fillId="17" borderId="8" xfId="0" applyFont="1" applyFill="1" applyBorder="1"/>
    <xf numFmtId="10" fontId="2" fillId="17" borderId="104" xfId="20" applyNumberFormat="1" applyFont="1" applyFill="1" applyBorder="1" applyAlignment="1" applyProtection="1">
      <alignment horizontal="center"/>
    </xf>
    <xf numFmtId="0" fontId="2" fillId="17" borderId="105" xfId="0" applyFont="1" applyFill="1" applyBorder="1" applyAlignment="1">
      <alignment horizontal="center"/>
    </xf>
    <xf numFmtId="0" fontId="2" fillId="17" borderId="22" xfId="0" applyFont="1" applyFill="1" applyBorder="1"/>
    <xf numFmtId="0" fontId="2" fillId="17" borderId="24" xfId="0" applyFont="1" applyFill="1" applyBorder="1"/>
    <xf numFmtId="10" fontId="2" fillId="17" borderId="105" xfId="20" applyNumberFormat="1" applyFont="1" applyFill="1" applyBorder="1" applyAlignment="1" applyProtection="1">
      <alignment horizontal="center"/>
    </xf>
    <xf numFmtId="10" fontId="2" fillId="17" borderId="8" xfId="20" applyNumberFormat="1" applyFont="1" applyFill="1" applyBorder="1" applyAlignment="1" applyProtection="1">
      <alignment horizontal="center"/>
    </xf>
    <xf numFmtId="0" fontId="2" fillId="0" borderId="19" xfId="0" applyFont="1" applyFill="1" applyBorder="1"/>
    <xf numFmtId="10" fontId="3" fillId="17" borderId="36" xfId="20" applyNumberFormat="1" applyFont="1" applyFill="1" applyBorder="1" applyAlignment="1" applyProtection="1"/>
    <xf numFmtId="0" fontId="4" fillId="6" borderId="19" xfId="0" applyFont="1" applyFill="1" applyBorder="1" applyAlignment="1" applyProtection="1">
      <alignment vertical="center" wrapText="1"/>
      <protection locked="0"/>
    </xf>
    <xf numFmtId="0" fontId="4" fillId="6" borderId="20" xfId="0" applyFont="1" applyFill="1" applyBorder="1" applyAlignment="1" applyProtection="1">
      <alignment vertical="center" wrapText="1"/>
      <protection locked="0"/>
    </xf>
    <xf numFmtId="0" fontId="4" fillId="6" borderId="21" xfId="0" applyFont="1" applyFill="1" applyBorder="1" applyAlignment="1" applyProtection="1">
      <alignment vertical="center" wrapText="1"/>
      <protection locked="0"/>
    </xf>
    <xf numFmtId="0" fontId="4" fillId="6" borderId="0" xfId="0" applyFont="1" applyFill="1" applyBorder="1" applyAlignment="1" applyProtection="1">
      <alignment vertical="center" wrapText="1"/>
      <protection locked="0"/>
    </xf>
    <xf numFmtId="0" fontId="4" fillId="6" borderId="8" xfId="0" applyFont="1" applyFill="1" applyBorder="1" applyAlignment="1" applyProtection="1">
      <alignment vertical="center" wrapText="1"/>
      <protection locked="0"/>
    </xf>
    <xf numFmtId="0" fontId="0" fillId="10" borderId="0" xfId="0" applyFont="1" applyFill="1" applyBorder="1"/>
    <xf numFmtId="0" fontId="0" fillId="6" borderId="0" xfId="0" applyFont="1" applyFill="1" applyBorder="1"/>
    <xf numFmtId="0" fontId="0" fillId="10" borderId="23" xfId="0" applyFont="1" applyFill="1" applyBorder="1"/>
    <xf numFmtId="0" fontId="0" fillId="6" borderId="23" xfId="0" applyFont="1" applyFill="1" applyBorder="1"/>
    <xf numFmtId="0" fontId="21" fillId="17" borderId="34" xfId="0" applyFont="1" applyFill="1" applyBorder="1" applyAlignment="1">
      <alignment horizontal="center"/>
    </xf>
    <xf numFmtId="0" fontId="21" fillId="17" borderId="36" xfId="0" applyFont="1" applyFill="1" applyBorder="1"/>
    <xf numFmtId="0" fontId="22" fillId="17" borderId="102" xfId="0" applyFont="1" applyFill="1" applyBorder="1" applyAlignment="1">
      <alignment horizontal="center"/>
    </xf>
    <xf numFmtId="0" fontId="22" fillId="17" borderId="19" xfId="0" applyFont="1" applyFill="1" applyBorder="1" applyAlignment="1">
      <alignment horizontal="center"/>
    </xf>
    <xf numFmtId="0" fontId="22" fillId="17" borderId="20" xfId="0" applyFont="1" applyFill="1" applyBorder="1" applyAlignment="1">
      <alignment horizontal="center"/>
    </xf>
    <xf numFmtId="0" fontId="23" fillId="17" borderId="102" xfId="0" applyFont="1" applyFill="1" applyBorder="1" applyAlignment="1">
      <alignment horizontal="center"/>
    </xf>
    <xf numFmtId="0" fontId="21" fillId="17" borderId="12" xfId="0" applyFont="1" applyFill="1" applyBorder="1" applyAlignment="1">
      <alignment horizontal="center"/>
    </xf>
    <xf numFmtId="0" fontId="21" fillId="17" borderId="13" xfId="0" applyFont="1" applyFill="1" applyBorder="1"/>
    <xf numFmtId="10" fontId="21" fillId="17" borderId="13" xfId="0" applyNumberFormat="1" applyFont="1" applyFill="1" applyBorder="1"/>
    <xf numFmtId="10" fontId="21" fillId="17" borderId="13" xfId="20" applyNumberFormat="1" applyFont="1" applyFill="1" applyBorder="1"/>
    <xf numFmtId="10" fontId="21" fillId="17" borderId="13" xfId="20" applyNumberFormat="1" applyFont="1" applyFill="1" applyBorder="1" applyAlignment="1" applyProtection="1"/>
    <xf numFmtId="10" fontId="21" fillId="17" borderId="14" xfId="20" applyNumberFormat="1" applyFont="1" applyFill="1" applyBorder="1" applyAlignment="1" applyProtection="1"/>
    <xf numFmtId="0" fontId="21" fillId="17" borderId="68" xfId="0" applyFont="1" applyFill="1" applyBorder="1" applyAlignment="1">
      <alignment horizontal="center"/>
    </xf>
    <xf numFmtId="0" fontId="21" fillId="17" borderId="69" xfId="0" applyFont="1" applyFill="1" applyBorder="1"/>
    <xf numFmtId="10" fontId="21" fillId="17" borderId="15" xfId="20" applyNumberFormat="1" applyFont="1" applyFill="1" applyBorder="1"/>
    <xf numFmtId="10" fontId="21" fillId="17" borderId="69" xfId="20" applyNumberFormat="1" applyFont="1" applyFill="1" applyBorder="1"/>
    <xf numFmtId="10" fontId="21" fillId="17" borderId="69" xfId="20" applyNumberFormat="1" applyFont="1" applyFill="1" applyBorder="1" applyAlignment="1" applyProtection="1"/>
    <xf numFmtId="10" fontId="21" fillId="17" borderId="70" xfId="20" applyNumberFormat="1" applyFont="1" applyFill="1" applyBorder="1" applyAlignment="1" applyProtection="1"/>
    <xf numFmtId="0" fontId="22" fillId="17" borderId="105" xfId="0" applyFont="1" applyFill="1" applyBorder="1" applyAlignment="1">
      <alignment horizontal="center"/>
    </xf>
    <xf numFmtId="0" fontId="22" fillId="17" borderId="23" xfId="0" applyFont="1" applyFill="1" applyBorder="1" applyAlignment="1">
      <alignment horizontal="right"/>
    </xf>
    <xf numFmtId="10" fontId="22" fillId="17" borderId="93" xfId="0" applyNumberFormat="1" applyFont="1" applyFill="1" applyBorder="1" applyAlignment="1">
      <alignment horizontal="right"/>
    </xf>
    <xf numFmtId="10" fontId="22" fillId="17" borderId="23" xfId="0" applyNumberFormat="1" applyFont="1" applyFill="1" applyBorder="1" applyAlignment="1">
      <alignment horizontal="right"/>
    </xf>
    <xf numFmtId="10" fontId="22" fillId="17" borderId="105" xfId="20" applyNumberFormat="1" applyFont="1" applyFill="1" applyBorder="1" applyAlignment="1" applyProtection="1"/>
    <xf numFmtId="10" fontId="22" fillId="17" borderId="24" xfId="20" applyNumberFormat="1" applyFont="1" applyFill="1" applyBorder="1" applyAlignment="1" applyProtection="1"/>
    <xf numFmtId="0" fontId="22" fillId="17" borderId="35" xfId="0" applyFont="1" applyFill="1" applyBorder="1" applyAlignment="1">
      <alignment horizontal="right"/>
    </xf>
    <xf numFmtId="10" fontId="22" fillId="17" borderId="35" xfId="20" applyNumberFormat="1" applyFont="1" applyFill="1" applyBorder="1" applyAlignment="1" applyProtection="1"/>
    <xf numFmtId="10" fontId="22" fillId="17" borderId="36" xfId="20" applyNumberFormat="1" applyFont="1" applyFill="1" applyBorder="1" applyAlignment="1" applyProtection="1"/>
    <xf numFmtId="0" fontId="21" fillId="17" borderId="9" xfId="0" applyFont="1" applyFill="1" applyBorder="1" applyAlignment="1">
      <alignment horizontal="center"/>
    </xf>
    <xf numFmtId="0" fontId="21" fillId="17" borderId="10" xfId="0" applyFont="1" applyFill="1" applyBorder="1"/>
    <xf numFmtId="10" fontId="21" fillId="17" borderId="10" xfId="20" applyNumberFormat="1" applyFont="1" applyFill="1" applyBorder="1" applyAlignment="1">
      <alignment horizontal="center"/>
    </xf>
    <xf numFmtId="0" fontId="21" fillId="17" borderId="10" xfId="0" applyFont="1" applyFill="1" applyBorder="1" applyAlignment="1">
      <alignment horizontal="center"/>
    </xf>
    <xf numFmtId="10" fontId="21" fillId="17" borderId="10" xfId="20" applyNumberFormat="1" applyFont="1" applyFill="1" applyBorder="1" applyAlignment="1" applyProtection="1"/>
    <xf numFmtId="10" fontId="21" fillId="17" borderId="11" xfId="20" applyNumberFormat="1" applyFont="1" applyFill="1" applyBorder="1" applyAlignment="1" applyProtection="1"/>
    <xf numFmtId="10" fontId="21" fillId="17" borderId="13" xfId="20" applyNumberFormat="1" applyFont="1" applyFill="1" applyBorder="1" applyAlignment="1">
      <alignment horizontal="center"/>
    </xf>
    <xf numFmtId="10" fontId="21" fillId="17" borderId="14" xfId="20" applyNumberFormat="1" applyFont="1" applyFill="1" applyBorder="1" applyAlignment="1" applyProtection="1">
      <alignment horizontal="center"/>
    </xf>
    <xf numFmtId="0" fontId="21" fillId="17" borderId="22" xfId="0" applyFont="1" applyFill="1" applyBorder="1" applyAlignment="1">
      <alignment horizontal="center"/>
    </xf>
    <xf numFmtId="0" fontId="22" fillId="17" borderId="102" xfId="0" applyFont="1" applyFill="1" applyBorder="1" applyAlignment="1">
      <alignment horizontal="right"/>
    </xf>
    <xf numFmtId="10" fontId="22" fillId="17" borderId="102" xfId="20" applyNumberFormat="1" applyFont="1" applyFill="1" applyBorder="1" applyAlignment="1" applyProtection="1"/>
    <xf numFmtId="0" fontId="21" fillId="17" borderId="107" xfId="0" applyFont="1" applyFill="1" applyBorder="1" applyAlignment="1">
      <alignment horizontal="center"/>
    </xf>
    <xf numFmtId="0" fontId="22" fillId="17" borderId="0" xfId="0" applyFont="1" applyFill="1" applyBorder="1" applyAlignment="1">
      <alignment horizontal="right"/>
    </xf>
    <xf numFmtId="10" fontId="22" fillId="17" borderId="0" xfId="20" applyNumberFormat="1" applyFont="1" applyFill="1" applyBorder="1" applyAlignment="1" applyProtection="1"/>
    <xf numFmtId="10" fontId="21" fillId="17" borderId="102" xfId="20" applyNumberFormat="1" applyFont="1" applyFill="1" applyBorder="1" applyAlignment="1" applyProtection="1"/>
    <xf numFmtId="0" fontId="21" fillId="17" borderId="25" xfId="0" applyFont="1" applyFill="1" applyBorder="1" applyAlignment="1">
      <alignment horizontal="center"/>
    </xf>
    <xf numFmtId="0" fontId="21" fillId="17" borderId="26" xfId="0" applyFont="1" applyFill="1" applyBorder="1"/>
    <xf numFmtId="10" fontId="21" fillId="17" borderId="26" xfId="20" applyNumberFormat="1" applyFont="1" applyFill="1" applyBorder="1"/>
    <xf numFmtId="10" fontId="21" fillId="17" borderId="26" xfId="20" applyNumberFormat="1" applyFont="1" applyFill="1" applyBorder="1" applyAlignment="1" applyProtection="1"/>
    <xf numFmtId="10" fontId="21" fillId="17" borderId="87" xfId="20" applyNumberFormat="1" applyFont="1" applyFill="1" applyBorder="1" applyAlignment="1" applyProtection="1"/>
    <xf numFmtId="0" fontId="21" fillId="17" borderId="108" xfId="0" applyFont="1" applyFill="1" applyBorder="1" applyAlignment="1">
      <alignment horizontal="center"/>
    </xf>
    <xf numFmtId="0" fontId="22" fillId="17" borderId="109" xfId="0" applyFont="1" applyFill="1" applyBorder="1" applyAlignment="1">
      <alignment horizontal="right"/>
    </xf>
    <xf numFmtId="10" fontId="22" fillId="17" borderId="109" xfId="0" applyNumberFormat="1" applyFont="1" applyFill="1" applyBorder="1" applyAlignment="1">
      <alignment horizontal="right"/>
    </xf>
    <xf numFmtId="10" fontId="22" fillId="17" borderId="109" xfId="20" applyNumberFormat="1" applyFont="1" applyFill="1" applyBorder="1" applyAlignment="1" applyProtection="1"/>
    <xf numFmtId="10" fontId="22" fillId="17" borderId="110" xfId="20" applyNumberFormat="1" applyFont="1" applyFill="1" applyBorder="1" applyAlignment="1" applyProtection="1"/>
    <xf numFmtId="10" fontId="21" fillId="17" borderId="10" xfId="20" applyNumberFormat="1" applyFont="1" applyFill="1" applyBorder="1"/>
    <xf numFmtId="0" fontId="21" fillId="17" borderId="69" xfId="0" applyFont="1" applyFill="1" applyBorder="1" applyAlignment="1">
      <alignment wrapText="1"/>
    </xf>
    <xf numFmtId="10" fontId="21" fillId="17" borderId="69" xfId="20" applyNumberFormat="1" applyFont="1" applyFill="1" applyBorder="1" applyAlignment="1">
      <alignment wrapText="1"/>
    </xf>
    <xf numFmtId="0" fontId="22" fillId="17" borderId="111" xfId="0" applyFont="1" applyFill="1" applyBorder="1" applyAlignment="1">
      <alignment horizontal="right"/>
    </xf>
    <xf numFmtId="10" fontId="22" fillId="17" borderId="111" xfId="0" applyNumberFormat="1" applyFont="1" applyFill="1" applyBorder="1" applyAlignment="1">
      <alignment horizontal="right"/>
    </xf>
    <xf numFmtId="10" fontId="22" fillId="17" borderId="111" xfId="20" applyNumberFormat="1" applyFont="1" applyFill="1" applyBorder="1" applyAlignment="1" applyProtection="1"/>
    <xf numFmtId="10" fontId="22" fillId="17" borderId="23" xfId="20" applyNumberFormat="1" applyFont="1" applyFill="1" applyBorder="1" applyAlignment="1" applyProtection="1"/>
    <xf numFmtId="10" fontId="21" fillId="17" borderId="24" xfId="20" applyNumberFormat="1" applyFont="1" applyFill="1" applyBorder="1" applyAlignment="1" applyProtection="1"/>
    <xf numFmtId="0" fontId="21" fillId="17" borderId="0" xfId="0" applyFont="1" applyFill="1" applyAlignment="1">
      <alignment horizontal="center"/>
    </xf>
    <xf numFmtId="0" fontId="21" fillId="17" borderId="0" xfId="0" applyFont="1" applyFill="1"/>
    <xf numFmtId="10" fontId="21" fillId="17" borderId="0" xfId="20" applyNumberFormat="1" applyFont="1" applyFill="1" applyBorder="1" applyAlignment="1" applyProtection="1"/>
    <xf numFmtId="10" fontId="22" fillId="17" borderId="36" xfId="0" applyNumberFormat="1" applyFont="1" applyFill="1" applyBorder="1" applyAlignment="1">
      <alignment horizontal="center"/>
    </xf>
    <xf numFmtId="4" fontId="19" fillId="6" borderId="0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horizontal="right"/>
    </xf>
    <xf numFmtId="0" fontId="7" fillId="6" borderId="7" xfId="0" applyFont="1" applyFill="1" applyBorder="1" applyAlignment="1" applyProtection="1">
      <alignment horizontal="right" wrapText="1"/>
      <protection locked="0"/>
    </xf>
    <xf numFmtId="4" fontId="19" fillId="6" borderId="0" xfId="0" applyNumberFormat="1" applyFont="1" applyFill="1" applyBorder="1" applyAlignment="1" applyProtection="1">
      <alignment horizontal="right"/>
      <protection locked="0"/>
    </xf>
    <xf numFmtId="0" fontId="3" fillId="6" borderId="0" xfId="0" applyFont="1" applyFill="1" applyBorder="1" applyAlignment="1" applyProtection="1">
      <alignment horizontal="right" wrapText="1"/>
      <protection locked="0"/>
    </xf>
    <xf numFmtId="43" fontId="3" fillId="6" borderId="0" xfId="2" applyNumberFormat="1" applyFont="1" applyFill="1" applyBorder="1" applyAlignment="1" applyProtection="1">
      <alignment horizontal="right" wrapText="1"/>
      <protection locked="0"/>
    </xf>
    <xf numFmtId="2" fontId="4" fillId="0" borderId="13" xfId="0" applyNumberFormat="1" applyFont="1" applyFill="1" applyBorder="1" applyAlignment="1">
      <alignment horizontal="center" vertical="center"/>
    </xf>
    <xf numFmtId="43" fontId="4" fillId="0" borderId="13" xfId="0" applyNumberFormat="1" applyFont="1" applyBorder="1" applyAlignment="1">
      <alignment horizontal="center" vertical="center"/>
    </xf>
    <xf numFmtId="43" fontId="4" fillId="0" borderId="13" xfId="2" applyNumberFormat="1" applyFont="1" applyFill="1" applyBorder="1" applyAlignment="1">
      <alignment horizontal="center" vertical="center"/>
    </xf>
    <xf numFmtId="43" fontId="4" fillId="0" borderId="13" xfId="1" applyNumberFormat="1" applyFont="1" applyBorder="1" applyAlignment="1">
      <alignment horizontal="center" vertical="center"/>
    </xf>
    <xf numFmtId="43" fontId="4" fillId="0" borderId="71" xfId="1" applyNumberFormat="1" applyFont="1" applyBorder="1" applyAlignment="1">
      <alignment horizontal="center" vertical="center"/>
    </xf>
    <xf numFmtId="0" fontId="7" fillId="4" borderId="5" xfId="0" applyFont="1" applyFill="1" applyBorder="1" applyAlignment="1">
      <alignment horizontal="center"/>
    </xf>
    <xf numFmtId="0" fontId="8" fillId="0" borderId="47" xfId="0" applyFont="1" applyFill="1" applyBorder="1" applyAlignment="1">
      <alignment wrapText="1"/>
    </xf>
    <xf numFmtId="0" fontId="2" fillId="0" borderId="48" xfId="0" applyFont="1" applyFill="1" applyBorder="1" applyAlignment="1">
      <alignment horizontal="center" vertical="center"/>
    </xf>
    <xf numFmtId="43" fontId="2" fillId="0" borderId="55" xfId="2" applyNumberFormat="1" applyFont="1" applyFill="1" applyBorder="1" applyAlignment="1">
      <alignment vertical="center"/>
    </xf>
    <xf numFmtId="43" fontId="2" fillId="0" borderId="50" xfId="2" applyNumberFormat="1" applyFont="1" applyFill="1" applyBorder="1" applyAlignment="1">
      <alignment vertical="center"/>
    </xf>
    <xf numFmtId="43" fontId="2" fillId="0" borderId="53" xfId="2" applyNumberFormat="1" applyFont="1" applyFill="1" applyBorder="1" applyAlignment="1">
      <alignment vertical="center"/>
    </xf>
    <xf numFmtId="43" fontId="2" fillId="0" borderId="54" xfId="2" applyNumberFormat="1" applyFont="1" applyFill="1" applyBorder="1" applyAlignment="1">
      <alignment vertical="center"/>
    </xf>
    <xf numFmtId="0" fontId="2" fillId="0" borderId="48" xfId="0" applyFont="1" applyFill="1" applyBorder="1" applyAlignment="1">
      <alignment horizontal="left" vertical="center"/>
    </xf>
    <xf numFmtId="0" fontId="2" fillId="0" borderId="49" xfId="0" applyFont="1" applyFill="1" applyBorder="1" applyAlignment="1">
      <alignment horizontal="left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43" fontId="2" fillId="0" borderId="58" xfId="2" applyNumberFormat="1" applyFont="1" applyFill="1" applyBorder="1" applyAlignment="1">
      <alignment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vertical="center" wrapText="1"/>
    </xf>
    <xf numFmtId="0" fontId="2" fillId="0" borderId="57" xfId="0" applyFont="1" applyFill="1" applyBorder="1" applyAlignment="1">
      <alignment horizontal="center" vertical="center"/>
    </xf>
    <xf numFmtId="43" fontId="2" fillId="0" borderId="59" xfId="2" applyNumberFormat="1" applyFont="1" applyFill="1" applyBorder="1" applyAlignment="1">
      <alignment vertical="center"/>
    </xf>
    <xf numFmtId="0" fontId="0" fillId="0" borderId="0" xfId="0" applyBorder="1"/>
    <xf numFmtId="0" fontId="7" fillId="6" borderId="112" xfId="0" applyFont="1" applyFill="1" applyBorder="1" applyAlignment="1" applyProtection="1">
      <alignment horizontal="center" vertical="center" wrapText="1"/>
      <protection locked="0"/>
    </xf>
    <xf numFmtId="0" fontId="7" fillId="6" borderId="115" xfId="0" applyFont="1" applyFill="1" applyBorder="1" applyAlignment="1" applyProtection="1">
      <alignment horizontal="center" vertical="center"/>
      <protection locked="0"/>
    </xf>
    <xf numFmtId="0" fontId="9" fillId="6" borderId="117" xfId="0" applyFont="1" applyFill="1" applyBorder="1" applyAlignment="1">
      <alignment horizontal="center" vertical="center"/>
    </xf>
    <xf numFmtId="0" fontId="0" fillId="0" borderId="115" xfId="0" applyBorder="1"/>
    <xf numFmtId="0" fontId="0" fillId="0" borderId="116" xfId="0" applyBorder="1"/>
    <xf numFmtId="0" fontId="7" fillId="4" borderId="119" xfId="0" applyFont="1" applyFill="1" applyBorder="1" applyAlignment="1">
      <alignment horizontal="center"/>
    </xf>
    <xf numFmtId="0" fontId="7" fillId="4" borderId="121" xfId="0" applyFont="1" applyFill="1" applyBorder="1" applyAlignment="1">
      <alignment horizontal="center"/>
    </xf>
    <xf numFmtId="1" fontId="7" fillId="4" borderId="120" xfId="0" applyNumberFormat="1" applyFont="1" applyFill="1" applyBorder="1" applyAlignment="1">
      <alignment horizontal="center" vertical="center"/>
    </xf>
    <xf numFmtId="0" fontId="9" fillId="0" borderId="122" xfId="0" applyFont="1" applyBorder="1"/>
    <xf numFmtId="43" fontId="7" fillId="0" borderId="123" xfId="26" applyNumberFormat="1" applyFont="1" applyFill="1" applyBorder="1" applyAlignment="1"/>
    <xf numFmtId="0" fontId="9" fillId="0" borderId="124" xfId="0" applyFont="1" applyBorder="1"/>
    <xf numFmtId="9" fontId="7" fillId="0" borderId="125" xfId="20" applyFont="1" applyFill="1" applyBorder="1" applyAlignment="1">
      <alignment horizontal="center" vertical="center"/>
    </xf>
    <xf numFmtId="43" fontId="7" fillId="7" borderId="126" xfId="20" applyNumberFormat="1" applyFont="1" applyFill="1" applyBorder="1" applyAlignment="1">
      <alignment horizontal="center" vertical="center"/>
    </xf>
    <xf numFmtId="43" fontId="7" fillId="0" borderId="125" xfId="0" applyNumberFormat="1" applyFont="1" applyFill="1" applyBorder="1"/>
    <xf numFmtId="0" fontId="9" fillId="0" borderId="124" xfId="0" applyFont="1" applyBorder="1" applyAlignment="1">
      <alignment horizontal="left"/>
    </xf>
    <xf numFmtId="43" fontId="7" fillId="0" borderId="125" xfId="6" applyNumberFormat="1" applyFont="1" applyFill="1" applyBorder="1" applyAlignment="1">
      <alignment horizontal="center"/>
    </xf>
    <xf numFmtId="43" fontId="7" fillId="0" borderId="125" xfId="2" applyNumberFormat="1" applyFont="1" applyFill="1" applyBorder="1" applyAlignment="1">
      <alignment horizontal="center"/>
    </xf>
    <xf numFmtId="43" fontId="7" fillId="0" borderId="125" xfId="20" applyNumberFormat="1" applyFont="1" applyFill="1" applyBorder="1" applyAlignment="1"/>
    <xf numFmtId="43" fontId="7" fillId="14" borderId="125" xfId="2" applyNumberFormat="1" applyFont="1" applyFill="1" applyBorder="1" applyAlignment="1">
      <alignment horizontal="center"/>
    </xf>
    <xf numFmtId="9" fontId="7" fillId="0" borderId="125" xfId="27" applyFont="1" applyFill="1" applyBorder="1" applyAlignment="1">
      <alignment horizontal="center"/>
    </xf>
    <xf numFmtId="0" fontId="9" fillId="0" borderId="127" xfId="0" applyFont="1" applyBorder="1" applyAlignment="1">
      <alignment horizontal="left"/>
    </xf>
    <xf numFmtId="9" fontId="7" fillId="0" borderId="128" xfId="20" applyFont="1" applyFill="1" applyBorder="1" applyAlignment="1">
      <alignment horizontal="center"/>
    </xf>
    <xf numFmtId="10" fontId="9" fillId="4" borderId="130" xfId="20" applyNumberFormat="1" applyFont="1" applyFill="1" applyBorder="1" applyAlignment="1">
      <alignment horizontal="center"/>
    </xf>
    <xf numFmtId="43" fontId="9" fillId="4" borderId="132" xfId="6" applyNumberFormat="1" applyFont="1" applyFill="1" applyBorder="1" applyAlignment="1"/>
    <xf numFmtId="43" fontId="9" fillId="4" borderId="135" xfId="0" applyNumberFormat="1" applyFont="1" applyFill="1" applyBorder="1"/>
    <xf numFmtId="43" fontId="9" fillId="4" borderId="136" xfId="0" applyNumberFormat="1" applyFont="1" applyFill="1" applyBorder="1"/>
    <xf numFmtId="9" fontId="9" fillId="4" borderId="136" xfId="0" applyNumberFormat="1" applyFont="1" applyFill="1" applyBorder="1" applyAlignment="1">
      <alignment horizontal="center"/>
    </xf>
    <xf numFmtId="43" fontId="9" fillId="4" borderId="136" xfId="6" applyNumberFormat="1" applyFont="1" applyFill="1" applyBorder="1" applyAlignment="1"/>
    <xf numFmtId="43" fontId="9" fillId="4" borderId="137" xfId="6" applyNumberFormat="1" applyFont="1" applyFill="1" applyBorder="1" applyAlignment="1"/>
    <xf numFmtId="0" fontId="7" fillId="0" borderId="0" xfId="0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center"/>
    </xf>
    <xf numFmtId="43" fontId="4" fillId="8" borderId="138" xfId="0" applyNumberFormat="1" applyFont="1" applyFill="1" applyBorder="1" applyAlignment="1">
      <alignment horizontal="center"/>
    </xf>
    <xf numFmtId="43" fontId="4" fillId="8" borderId="15" xfId="2" applyNumberFormat="1" applyFont="1" applyFill="1" applyBorder="1" applyAlignment="1">
      <alignment horizontal="center"/>
    </xf>
    <xf numFmtId="43" fontId="4" fillId="0" borderId="15" xfId="1" applyNumberFormat="1" applyFont="1" applyBorder="1" applyAlignment="1">
      <alignment horizontal="center"/>
    </xf>
    <xf numFmtId="43" fontId="4" fillId="0" borderId="30" xfId="1" applyNumberFormat="1" applyFont="1" applyBorder="1" applyAlignment="1">
      <alignment horizontal="center"/>
    </xf>
    <xf numFmtId="165" fontId="4" fillId="8" borderId="92" xfId="0" applyNumberFormat="1" applyFont="1" applyFill="1" applyBorder="1" applyAlignment="1">
      <alignment horizontal="center" vertical="center"/>
    </xf>
    <xf numFmtId="9" fontId="4" fillId="0" borderId="5" xfId="27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6" borderId="0" xfId="0" applyFont="1" applyFill="1" applyBorder="1" applyAlignment="1" applyProtection="1">
      <alignment horizontal="left" wrapText="1"/>
      <protection locked="0"/>
    </xf>
    <xf numFmtId="4" fontId="24" fillId="6" borderId="0" xfId="0" applyNumberFormat="1" applyFont="1" applyFill="1" applyBorder="1" applyAlignment="1" applyProtection="1">
      <alignment horizontal="right" wrapText="1"/>
      <protection locked="0"/>
    </xf>
    <xf numFmtId="4" fontId="24" fillId="6" borderId="8" xfId="0" applyNumberFormat="1" applyFont="1" applyFill="1" applyBorder="1" applyAlignment="1" applyProtection="1">
      <alignment horizontal="right" wrapText="1"/>
      <protection locked="0"/>
    </xf>
    <xf numFmtId="0" fontId="3" fillId="6" borderId="5" xfId="0" applyFont="1" applyFill="1" applyBorder="1" applyAlignment="1">
      <alignment horizontal="left"/>
    </xf>
    <xf numFmtId="43" fontId="4" fillId="4" borderId="80" xfId="2" applyNumberFormat="1" applyFont="1" applyFill="1" applyBorder="1" applyAlignment="1">
      <alignment horizontal="center"/>
    </xf>
    <xf numFmtId="43" fontId="4" fillId="4" borderId="75" xfId="2" applyNumberFormat="1" applyFont="1" applyFill="1" applyBorder="1" applyAlignment="1">
      <alignment horizontal="center"/>
    </xf>
    <xf numFmtId="43" fontId="4" fillId="4" borderId="78" xfId="2" applyNumberFormat="1" applyFont="1" applyFill="1" applyBorder="1" applyAlignment="1">
      <alignment horizontal="center"/>
    </xf>
    <xf numFmtId="43" fontId="4" fillId="4" borderId="88" xfId="2" applyNumberFormat="1" applyFont="1" applyFill="1" applyBorder="1" applyAlignment="1">
      <alignment horizontal="center"/>
    </xf>
    <xf numFmtId="43" fontId="4" fillId="4" borderId="89" xfId="2" applyNumberFormat="1" applyFont="1" applyFill="1" applyBorder="1" applyAlignment="1">
      <alignment horizontal="center"/>
    </xf>
    <xf numFmtId="43" fontId="4" fillId="4" borderId="90" xfId="2" applyNumberFormat="1" applyFont="1" applyFill="1" applyBorder="1" applyAlignment="1">
      <alignment horizontal="center"/>
    </xf>
    <xf numFmtId="0" fontId="9" fillId="4" borderId="129" xfId="0" applyFont="1" applyFill="1" applyBorder="1" applyAlignment="1">
      <alignment horizontal="center"/>
    </xf>
    <xf numFmtId="0" fontId="9" fillId="4" borderId="131" xfId="0" applyFont="1" applyFill="1" applyBorder="1" applyAlignment="1">
      <alignment horizontal="center"/>
    </xf>
    <xf numFmtId="0" fontId="9" fillId="4" borderId="133" xfId="0" applyFont="1" applyFill="1" applyBorder="1" applyAlignment="1">
      <alignment horizontal="center"/>
    </xf>
    <xf numFmtId="0" fontId="9" fillId="4" borderId="96" xfId="0" applyFont="1" applyFill="1" applyBorder="1" applyAlignment="1">
      <alignment horizontal="left" vertical="center"/>
    </xf>
    <xf numFmtId="0" fontId="9" fillId="4" borderId="74" xfId="0" applyFont="1" applyFill="1" applyBorder="1" applyAlignment="1">
      <alignment horizontal="left" vertical="center"/>
    </xf>
    <xf numFmtId="0" fontId="9" fillId="4" borderId="134" xfId="0" applyFont="1" applyFill="1" applyBorder="1" applyAlignment="1">
      <alignment horizontal="left" vertical="center"/>
    </xf>
    <xf numFmtId="4" fontId="18" fillId="6" borderId="113" xfId="0" applyNumberFormat="1" applyFont="1" applyFill="1" applyBorder="1" applyAlignment="1" applyProtection="1">
      <alignment horizontal="center" vertical="center"/>
      <protection locked="0"/>
    </xf>
    <xf numFmtId="4" fontId="18" fillId="6" borderId="114" xfId="0" applyNumberFormat="1" applyFont="1" applyFill="1" applyBorder="1" applyAlignment="1" applyProtection="1">
      <alignment horizontal="center" vertical="center"/>
      <protection locked="0"/>
    </xf>
    <xf numFmtId="4" fontId="18" fillId="6" borderId="0" xfId="0" applyNumberFormat="1" applyFont="1" applyFill="1" applyBorder="1" applyAlignment="1" applyProtection="1">
      <alignment horizontal="center" vertical="center"/>
      <protection locked="0"/>
    </xf>
    <xf numFmtId="4" fontId="18" fillId="6" borderId="116" xfId="0" applyNumberFormat="1" applyFont="1" applyFill="1" applyBorder="1" applyAlignment="1" applyProtection="1">
      <alignment horizontal="center" vertical="center"/>
      <protection locked="0"/>
    </xf>
    <xf numFmtId="4" fontId="18" fillId="6" borderId="23" xfId="0" applyNumberFormat="1" applyFont="1" applyFill="1" applyBorder="1" applyAlignment="1" applyProtection="1">
      <alignment horizontal="center" vertical="center"/>
      <protection locked="0"/>
    </xf>
    <xf numFmtId="4" fontId="18" fillId="6" borderId="118" xfId="0" applyNumberFormat="1" applyFont="1" applyFill="1" applyBorder="1" applyAlignment="1" applyProtection="1">
      <alignment horizontal="center" vertical="center"/>
      <protection locked="0"/>
    </xf>
    <xf numFmtId="0" fontId="7" fillId="4" borderId="5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/>
    </xf>
    <xf numFmtId="0" fontId="7" fillId="4" borderId="120" xfId="0" applyFont="1" applyFill="1" applyBorder="1" applyAlignment="1">
      <alignment horizontal="center"/>
    </xf>
    <xf numFmtId="0" fontId="3" fillId="6" borderId="113" xfId="0" applyFont="1" applyFill="1" applyBorder="1" applyAlignment="1" applyProtection="1">
      <alignment horizontal="left" wrapText="1"/>
      <protection locked="0"/>
    </xf>
    <xf numFmtId="43" fontId="4" fillId="4" borderId="27" xfId="1" applyNumberFormat="1" applyFont="1" applyFill="1" applyBorder="1" applyAlignment="1">
      <alignment horizontal="center" vertical="center"/>
    </xf>
    <xf numFmtId="43" fontId="4" fillId="4" borderId="28" xfId="1" applyNumberFormat="1" applyFont="1" applyFill="1" applyBorder="1" applyAlignment="1">
      <alignment horizontal="center" vertical="center"/>
    </xf>
    <xf numFmtId="0" fontId="12" fillId="6" borderId="19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0" fontId="1" fillId="6" borderId="23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right" vertical="center"/>
    </xf>
    <xf numFmtId="0" fontId="2" fillId="6" borderId="21" xfId="0" applyFont="1" applyFill="1" applyBorder="1" applyAlignment="1">
      <alignment horizontal="right" vertical="center"/>
    </xf>
    <xf numFmtId="0" fontId="10" fillId="6" borderId="0" xfId="0" applyFont="1" applyFill="1" applyBorder="1" applyAlignment="1">
      <alignment horizontal="right" vertical="center"/>
    </xf>
    <xf numFmtId="0" fontId="10" fillId="6" borderId="8" xfId="0" applyFont="1" applyFill="1" applyBorder="1" applyAlignment="1">
      <alignment horizontal="right" vertical="center"/>
    </xf>
    <xf numFmtId="0" fontId="10" fillId="6" borderId="23" xfId="0" applyFont="1" applyFill="1" applyBorder="1" applyAlignment="1">
      <alignment horizontal="right" vertical="center"/>
    </xf>
    <xf numFmtId="0" fontId="10" fillId="6" borderId="24" xfId="0" applyFont="1" applyFill="1" applyBorder="1" applyAlignment="1">
      <alignment horizontal="right" vertical="center"/>
    </xf>
    <xf numFmtId="0" fontId="9" fillId="4" borderId="25" xfId="0" applyFont="1" applyFill="1" applyBorder="1" applyAlignment="1">
      <alignment horizontal="center" vertical="center"/>
    </xf>
    <xf numFmtId="0" fontId="9" fillId="4" borderId="29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left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4" fillId="4" borderId="26" xfId="1" applyNumberFormat="1" applyFont="1" applyFill="1" applyBorder="1" applyAlignment="1">
      <alignment horizontal="center" wrapText="1"/>
    </xf>
    <xf numFmtId="0" fontId="4" fillId="4" borderId="15" xfId="1" applyNumberFormat="1" applyFont="1" applyFill="1" applyBorder="1" applyAlignment="1">
      <alignment horizontal="center" wrapText="1"/>
    </xf>
    <xf numFmtId="2" fontId="4" fillId="4" borderId="26" xfId="0" applyNumberFormat="1" applyFont="1" applyFill="1" applyBorder="1" applyAlignment="1">
      <alignment horizontal="center"/>
    </xf>
    <xf numFmtId="2" fontId="4" fillId="4" borderId="15" xfId="0" applyNumberFormat="1" applyFont="1" applyFill="1" applyBorder="1" applyAlignment="1">
      <alignment horizontal="center"/>
    </xf>
    <xf numFmtId="43" fontId="4" fillId="4" borderId="26" xfId="1" applyFont="1" applyFill="1" applyBorder="1" applyAlignment="1">
      <alignment horizontal="center"/>
    </xf>
    <xf numFmtId="43" fontId="4" fillId="4" borderId="15" xfId="1" applyFont="1" applyFill="1" applyBorder="1" applyAlignment="1">
      <alignment horizontal="center"/>
    </xf>
    <xf numFmtId="43" fontId="4" fillId="4" borderId="26" xfId="1" applyNumberFormat="1" applyFont="1" applyFill="1" applyBorder="1" applyAlignment="1">
      <alignment horizontal="right" wrapText="1"/>
    </xf>
    <xf numFmtId="43" fontId="4" fillId="4" borderId="15" xfId="1" applyNumberFormat="1" applyFont="1" applyFill="1" applyBorder="1" applyAlignment="1">
      <alignment horizontal="right" wrapText="1"/>
    </xf>
    <xf numFmtId="0" fontId="2" fillId="5" borderId="63" xfId="0" applyFont="1" applyFill="1" applyBorder="1" applyAlignment="1">
      <alignment horizontal="center" vertical="center"/>
    </xf>
    <xf numFmtId="0" fontId="2" fillId="5" borderId="64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left" vertical="center"/>
    </xf>
    <xf numFmtId="0" fontId="2" fillId="0" borderId="49" xfId="0" applyFont="1" applyFill="1" applyBorder="1" applyAlignment="1">
      <alignment horizontal="left" vertical="center"/>
    </xf>
    <xf numFmtId="0" fontId="2" fillId="0" borderId="51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/>
    </xf>
    <xf numFmtId="0" fontId="1" fillId="2" borderId="36" xfId="0" applyFont="1" applyFill="1" applyBorder="1" applyAlignment="1">
      <alignment horizontal="center"/>
    </xf>
    <xf numFmtId="0" fontId="2" fillId="9" borderId="38" xfId="0" applyFont="1" applyFill="1" applyBorder="1" applyAlignment="1">
      <alignment horizontal="center"/>
    </xf>
    <xf numFmtId="0" fontId="2" fillId="9" borderId="39" xfId="0" applyFont="1" applyFill="1" applyBorder="1" applyAlignment="1">
      <alignment horizontal="center"/>
    </xf>
    <xf numFmtId="0" fontId="2" fillId="9" borderId="40" xfId="0" applyFont="1" applyFill="1" applyBorder="1" applyAlignment="1">
      <alignment horizontal="center"/>
    </xf>
    <xf numFmtId="0" fontId="3" fillId="17" borderId="22" xfId="0" applyFont="1" applyFill="1" applyBorder="1" applyAlignment="1">
      <alignment horizontal="center"/>
    </xf>
    <xf numFmtId="0" fontId="3" fillId="17" borderId="23" xfId="0" applyFont="1" applyFill="1" applyBorder="1" applyAlignment="1">
      <alignment horizontal="center"/>
    </xf>
    <xf numFmtId="0" fontId="3" fillId="17" borderId="24" xfId="0" applyFont="1" applyFill="1" applyBorder="1" applyAlignment="1">
      <alignment horizontal="center"/>
    </xf>
    <xf numFmtId="0" fontId="4" fillId="17" borderId="34" xfId="0" applyFont="1" applyFill="1" applyBorder="1" applyAlignment="1">
      <alignment horizontal="center" vertical="top" wrapText="1"/>
    </xf>
    <xf numFmtId="0" fontId="4" fillId="17" borderId="35" xfId="0" applyFont="1" applyFill="1" applyBorder="1" applyAlignment="1">
      <alignment horizontal="center" vertical="top" wrapText="1"/>
    </xf>
    <xf numFmtId="0" fontId="4" fillId="17" borderId="36" xfId="0" applyFont="1" applyFill="1" applyBorder="1" applyAlignment="1">
      <alignment horizontal="center" vertical="top" wrapText="1"/>
    </xf>
    <xf numFmtId="0" fontId="3" fillId="17" borderId="34" xfId="0" applyFont="1" applyFill="1" applyBorder="1" applyAlignment="1">
      <alignment horizontal="center" vertical="top" wrapText="1"/>
    </xf>
    <xf numFmtId="0" fontId="3" fillId="17" borderId="35" xfId="0" applyFont="1" applyFill="1" applyBorder="1" applyAlignment="1">
      <alignment horizontal="center" vertical="top" wrapText="1"/>
    </xf>
    <xf numFmtId="0" fontId="3" fillId="17" borderId="36" xfId="0" applyFont="1" applyFill="1" applyBorder="1" applyAlignment="1">
      <alignment horizontal="center" vertical="top" wrapText="1"/>
    </xf>
    <xf numFmtId="0" fontId="2" fillId="17" borderId="20" xfId="0" applyFont="1" applyFill="1" applyBorder="1" applyAlignment="1">
      <alignment horizontal="center"/>
    </xf>
    <xf numFmtId="0" fontId="2" fillId="17" borderId="21" xfId="0" applyFont="1" applyFill="1" applyBorder="1" applyAlignment="1">
      <alignment horizontal="center"/>
    </xf>
    <xf numFmtId="0" fontId="22" fillId="17" borderId="34" xfId="0" applyFont="1" applyFill="1" applyBorder="1" applyAlignment="1">
      <alignment horizontal="center"/>
    </xf>
    <xf numFmtId="0" fontId="22" fillId="17" borderId="35" xfId="0" applyFont="1" applyFill="1" applyBorder="1" applyAlignment="1">
      <alignment horizontal="center"/>
    </xf>
    <xf numFmtId="0" fontId="22" fillId="17" borderId="36" xfId="0" applyFont="1" applyFill="1" applyBorder="1" applyAlignment="1">
      <alignment horizontal="center"/>
    </xf>
    <xf numFmtId="0" fontId="22" fillId="17" borderId="35" xfId="0" applyFont="1" applyFill="1" applyBorder="1" applyAlignment="1">
      <alignment horizontal="center" vertical="center" wrapText="1"/>
    </xf>
    <xf numFmtId="0" fontId="22" fillId="17" borderId="106" xfId="0" applyFont="1" applyFill="1" applyBorder="1" applyAlignment="1">
      <alignment horizontal="center"/>
    </xf>
    <xf numFmtId="0" fontId="22" fillId="17" borderId="79" xfId="0" applyFont="1" applyFill="1" applyBorder="1" applyAlignment="1">
      <alignment horizontal="center"/>
    </xf>
    <xf numFmtId="0" fontId="22" fillId="17" borderId="86" xfId="0" applyFont="1" applyFill="1" applyBorder="1" applyAlignment="1">
      <alignment horizontal="center"/>
    </xf>
  </cellXfs>
  <cellStyles count="28">
    <cellStyle name="Moeda" xfId="2" builtinId="4"/>
    <cellStyle name="Moeda 2" xfId="7" xr:uid="{00000000-0005-0000-0000-000033000000}"/>
    <cellStyle name="Moeda 3" xfId="6" xr:uid="{00000000-0005-0000-0000-000032000000}"/>
    <cellStyle name="Normal" xfId="0" builtinId="0"/>
    <cellStyle name="Normal 10" xfId="8" xr:uid="{00000000-0005-0000-0000-000034000000}"/>
    <cellStyle name="Normal 11" xfId="9" xr:uid="{00000000-0005-0000-0000-000035000000}"/>
    <cellStyle name="Normal 16" xfId="10" xr:uid="{00000000-0005-0000-0000-000036000000}"/>
    <cellStyle name="Normal 17" xfId="11" xr:uid="{00000000-0005-0000-0000-000037000000}"/>
    <cellStyle name="Normal 2" xfId="12" xr:uid="{00000000-0005-0000-0000-000038000000}"/>
    <cellStyle name="Normal 2 2" xfId="13" xr:uid="{00000000-0005-0000-0000-000039000000}"/>
    <cellStyle name="Normal 20" xfId="14" xr:uid="{00000000-0005-0000-0000-00003A000000}"/>
    <cellStyle name="Normal 21" xfId="15" xr:uid="{00000000-0005-0000-0000-00003B000000}"/>
    <cellStyle name="Normal 25" xfId="5" xr:uid="{00000000-0005-0000-0000-000002000000}"/>
    <cellStyle name="Normal 3" xfId="16" xr:uid="{00000000-0005-0000-0000-00003C000000}"/>
    <cellStyle name="Normal 5" xfId="17" xr:uid="{00000000-0005-0000-0000-00003D000000}"/>
    <cellStyle name="Normal 6" xfId="18" xr:uid="{00000000-0005-0000-0000-00003E000000}"/>
    <cellStyle name="Normal 9" xfId="19" xr:uid="{00000000-0005-0000-0000-00003F000000}"/>
    <cellStyle name="Porcentagem" xfId="27" builtinId="5"/>
    <cellStyle name="Porcentagem 2" xfId="21" xr:uid="{00000000-0005-0000-0000-000041000000}"/>
    <cellStyle name="Porcentagem 3" xfId="20" xr:uid="{00000000-0005-0000-0000-000040000000}"/>
    <cellStyle name="Separador de milhares 10" xfId="3" xr:uid="{00000000-0005-0000-0000-000003000000}"/>
    <cellStyle name="Separador de milhares 10 2" xfId="23" xr:uid="{00000000-0005-0000-0000-000043000000}"/>
    <cellStyle name="Separador de milhares 10 3" xfId="22" xr:uid="{00000000-0005-0000-0000-000042000000}"/>
    <cellStyle name="Separador de milhares 2" xfId="4" xr:uid="{00000000-0005-0000-0000-000004000000}"/>
    <cellStyle name="Separador de milhares 2 2" xfId="24" xr:uid="{00000000-0005-0000-0000-000044000000}"/>
    <cellStyle name="Separador de milhares 3" xfId="25" xr:uid="{00000000-0005-0000-0000-000045000000}"/>
    <cellStyle name="Vírgula" xfId="1" builtinId="3"/>
    <cellStyle name="Vírgula 2" xfId="26" xr:uid="{00000000-0005-0000-0000-000046000000}"/>
  </cellStyles>
  <dxfs count="0"/>
  <tableStyles count="0" defaultTableStyle="TableStyleMedium2" defaultPivotStyle="PivotStyleLight16"/>
  <colors>
    <mruColors>
      <color rgb="FFCCFF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JANE/ESCRITORIO/SNA_BASE%20OR&#199;AMENTO%20E%20MEMORIAL/Planilha%20modelo%20base%20SINAPI/Ano%20-%202018/CATALOGO_COMPOSICOES_ANALITICAS_EXCEL_04_201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ATALOGO_COMPOSICOES_ANALITICAS_EXCEL_04_20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inapi/CATALOGO_COMPOSICOES_ANALITICAS_EXCEL_04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_custo"/>
      <sheetName val="Sem_custo"/>
    </sheetNames>
    <sheetDataSet>
      <sheetData sheetId="0">
        <row r="2092">
          <cell r="G2092">
            <v>258.68340000000001</v>
          </cell>
          <cell r="H2092">
            <v>44.06</v>
          </cell>
        </row>
        <row r="15835">
          <cell r="G15835">
            <v>1110.52</v>
          </cell>
          <cell r="H15835">
            <v>245.68</v>
          </cell>
        </row>
        <row r="29452">
          <cell r="G29452">
            <v>5.31</v>
          </cell>
          <cell r="H29452">
            <v>2.8116399999999997</v>
          </cell>
        </row>
        <row r="33287">
          <cell r="G33287">
            <v>12.196275729</v>
          </cell>
          <cell r="H33287">
            <v>31.23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_custo"/>
      <sheetName val="Sem_custo"/>
    </sheetNames>
    <sheetDataSet>
      <sheetData sheetId="0">
        <row r="4713">
          <cell r="G4713">
            <v>1.64</v>
          </cell>
          <cell r="H4713">
            <v>2.75</v>
          </cell>
        </row>
        <row r="5111">
          <cell r="G5111">
            <v>19.510000000000002</v>
          </cell>
          <cell r="H5111">
            <v>1.5019399999999998</v>
          </cell>
        </row>
        <row r="5256">
          <cell r="G5256">
            <v>12.61</v>
          </cell>
          <cell r="H5256">
            <v>9.9591999999999992</v>
          </cell>
        </row>
        <row r="5323">
          <cell r="G5323">
            <v>30.85</v>
          </cell>
          <cell r="H5323">
            <v>7.0518799999999988</v>
          </cell>
        </row>
        <row r="5354">
          <cell r="G5354">
            <v>22.73</v>
          </cell>
          <cell r="H5354">
            <v>4.7385399999999995</v>
          </cell>
        </row>
        <row r="29650">
          <cell r="G29650">
            <v>8.94</v>
          </cell>
          <cell r="H29650">
            <v>11.439</v>
          </cell>
        </row>
        <row r="29701">
          <cell r="G29701">
            <v>4.97</v>
          </cell>
          <cell r="H29701">
            <v>3.8116000000000003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_custo"/>
      <sheetName val="Sem_custo"/>
    </sheetNames>
    <sheetDataSet>
      <sheetData sheetId="0">
        <row r="15648">
          <cell r="G15648">
            <v>122.15</v>
          </cell>
          <cell r="H15648">
            <v>41.458500000000001</v>
          </cell>
        </row>
        <row r="23839">
          <cell r="G23839">
            <v>115.19</v>
          </cell>
          <cell r="H23839">
            <v>211.83799999999999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47"/>
  <sheetViews>
    <sheetView workbookViewId="0">
      <pane ySplit="2" topLeftCell="A111" activePane="bottomLeft" state="frozen"/>
      <selection pane="bottomLeft" activeCell="J123" sqref="J123"/>
    </sheetView>
  </sheetViews>
  <sheetFormatPr defaultRowHeight="15" x14ac:dyDescent="0.25"/>
  <cols>
    <col min="1" max="1" width="6.7109375" customWidth="1"/>
    <col min="2" max="2" width="60.5703125" customWidth="1"/>
    <col min="9" max="9" width="6.85546875" customWidth="1"/>
  </cols>
  <sheetData>
    <row r="1" spans="1:14" ht="27" customHeight="1" x14ac:dyDescent="0.25">
      <c r="A1" s="490" t="s">
        <v>31</v>
      </c>
      <c r="B1" s="491"/>
      <c r="C1" s="491"/>
      <c r="D1" s="491"/>
      <c r="E1" s="491"/>
      <c r="F1" s="491"/>
      <c r="G1" s="491"/>
      <c r="H1" s="491"/>
      <c r="I1" s="491"/>
      <c r="J1" s="491"/>
      <c r="K1" s="491"/>
      <c r="L1" s="491"/>
      <c r="M1" s="491"/>
      <c r="N1" s="492"/>
    </row>
    <row r="2" spans="1:14" ht="21.75" customHeight="1" x14ac:dyDescent="0.3">
      <c r="A2" s="1"/>
      <c r="B2" s="2"/>
      <c r="C2" s="3" t="s">
        <v>0</v>
      </c>
      <c r="D2" s="4" t="s">
        <v>1</v>
      </c>
      <c r="E2" s="4" t="s">
        <v>2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7</v>
      </c>
      <c r="K2" s="4" t="s">
        <v>8</v>
      </c>
      <c r="L2" s="4" t="s">
        <v>9</v>
      </c>
      <c r="M2" s="3" t="s">
        <v>10</v>
      </c>
      <c r="N2" s="5" t="s">
        <v>11</v>
      </c>
    </row>
    <row r="3" spans="1:14" ht="15" customHeight="1" x14ac:dyDescent="0.25">
      <c r="A3" s="6"/>
      <c r="B3" s="7"/>
      <c r="C3" s="8"/>
      <c r="D3" s="9"/>
      <c r="E3" s="9"/>
      <c r="F3" s="9"/>
      <c r="G3" s="9"/>
      <c r="H3" s="9"/>
      <c r="I3" s="9"/>
      <c r="J3" s="9"/>
      <c r="K3" s="9"/>
      <c r="L3" s="9"/>
      <c r="M3" s="8"/>
      <c r="N3" s="59"/>
    </row>
    <row r="4" spans="1:14" s="186" customFormat="1" ht="15" customHeight="1" x14ac:dyDescent="0.25">
      <c r="A4" s="6" t="s">
        <v>39</v>
      </c>
      <c r="B4" s="7" t="s">
        <v>159</v>
      </c>
      <c r="C4" s="8"/>
      <c r="D4" s="9"/>
      <c r="E4" s="9"/>
      <c r="F4" s="9"/>
      <c r="G4" s="9"/>
      <c r="H4" s="9"/>
      <c r="I4" s="9"/>
      <c r="J4" s="9"/>
      <c r="K4" s="9"/>
      <c r="L4" s="9"/>
      <c r="M4" s="8"/>
      <c r="N4" s="10"/>
    </row>
    <row r="5" spans="1:14" s="186" customFormat="1" ht="15" customHeight="1" x14ac:dyDescent="0.3">
      <c r="A5" s="187" t="s">
        <v>41</v>
      </c>
      <c r="B5" s="188" t="s">
        <v>178</v>
      </c>
      <c r="C5" s="189" t="s">
        <v>141</v>
      </c>
      <c r="D5" s="11"/>
      <c r="E5" s="11"/>
      <c r="F5" s="11"/>
      <c r="G5" s="11"/>
      <c r="H5" s="11"/>
      <c r="I5" s="11"/>
      <c r="J5" s="11"/>
      <c r="K5" s="11"/>
      <c r="L5" s="11"/>
      <c r="M5" s="12"/>
      <c r="N5" s="190"/>
    </row>
    <row r="6" spans="1:14" s="186" customFormat="1" ht="15" customHeight="1" x14ac:dyDescent="0.3">
      <c r="A6" s="13"/>
      <c r="B6" s="14" t="s">
        <v>179</v>
      </c>
      <c r="C6" s="15"/>
      <c r="D6" s="16">
        <v>6</v>
      </c>
      <c r="E6" s="16"/>
      <c r="F6" s="17"/>
      <c r="G6" s="16"/>
      <c r="H6" s="17"/>
      <c r="I6" s="16"/>
      <c r="J6" s="16"/>
      <c r="K6" s="16"/>
      <c r="L6" s="16"/>
      <c r="M6" s="15"/>
      <c r="N6" s="191">
        <f>D6</f>
        <v>6</v>
      </c>
    </row>
    <row r="7" spans="1:14" s="186" customFormat="1" ht="15" customHeight="1" x14ac:dyDescent="0.3">
      <c r="A7" s="13"/>
      <c r="B7" s="18"/>
      <c r="C7" s="15"/>
      <c r="D7" s="16"/>
      <c r="E7" s="16"/>
      <c r="F7" s="16"/>
      <c r="G7" s="16"/>
      <c r="H7" s="16"/>
      <c r="I7" s="16"/>
      <c r="J7" s="16"/>
      <c r="K7" s="16"/>
      <c r="L7" s="16"/>
      <c r="M7" s="15"/>
      <c r="N7" s="185"/>
    </row>
    <row r="8" spans="1:14" s="186" customFormat="1" ht="15" customHeight="1" x14ac:dyDescent="0.3">
      <c r="A8" s="13"/>
      <c r="B8" s="18"/>
      <c r="C8" s="12"/>
      <c r="D8" s="11"/>
      <c r="E8" s="11"/>
      <c r="F8" s="11"/>
      <c r="G8" s="11"/>
      <c r="H8" s="11"/>
      <c r="I8" s="11"/>
      <c r="J8" s="11"/>
      <c r="K8" s="11"/>
      <c r="L8" s="11"/>
      <c r="M8" s="12"/>
      <c r="N8" s="190"/>
    </row>
    <row r="9" spans="1:14" s="186" customFormat="1" ht="30.75" customHeight="1" x14ac:dyDescent="0.3">
      <c r="A9" s="187" t="s">
        <v>42</v>
      </c>
      <c r="B9" s="188" t="s">
        <v>163</v>
      </c>
      <c r="C9" s="189" t="s">
        <v>12</v>
      </c>
      <c r="D9" s="23"/>
      <c r="E9" s="23"/>
      <c r="F9" s="23"/>
      <c r="G9" s="23"/>
      <c r="H9" s="23"/>
      <c r="I9" s="23"/>
      <c r="J9" s="23"/>
      <c r="K9" s="23"/>
      <c r="L9" s="23"/>
      <c r="M9" s="24"/>
      <c r="N9" s="185"/>
    </row>
    <row r="10" spans="1:14" s="186" customFormat="1" ht="15" customHeight="1" x14ac:dyDescent="0.3">
      <c r="A10" s="13"/>
      <c r="B10" s="18"/>
      <c r="C10" s="15"/>
      <c r="D10" s="23"/>
      <c r="E10" s="23"/>
      <c r="F10" s="25">
        <v>76.91</v>
      </c>
      <c r="G10" s="19">
        <v>2.1</v>
      </c>
      <c r="H10" s="23"/>
      <c r="I10" s="23"/>
      <c r="J10" s="23"/>
      <c r="K10" s="23"/>
      <c r="L10" s="23"/>
      <c r="M10" s="24"/>
      <c r="N10" s="185"/>
    </row>
    <row r="11" spans="1:14" s="186" customFormat="1" ht="15" customHeight="1" x14ac:dyDescent="0.3">
      <c r="A11" s="20"/>
      <c r="B11" s="21"/>
      <c r="C11" s="22"/>
      <c r="D11" s="23"/>
      <c r="E11" s="19"/>
      <c r="F11" s="25"/>
      <c r="G11" s="25"/>
      <c r="H11" s="19"/>
      <c r="I11" s="19"/>
      <c r="J11" s="19"/>
      <c r="K11" s="19"/>
      <c r="L11" s="19"/>
      <c r="M11" s="22"/>
      <c r="N11" s="191">
        <f>PRODUCT(F10,G10)</f>
        <v>161.511</v>
      </c>
    </row>
    <row r="12" spans="1:14" s="186" customFormat="1" ht="15" customHeight="1" x14ac:dyDescent="0.3">
      <c r="A12" s="20"/>
      <c r="B12" s="21"/>
      <c r="C12" s="22"/>
      <c r="D12" s="23"/>
      <c r="E12" s="19"/>
      <c r="F12" s="25"/>
      <c r="G12" s="25"/>
      <c r="H12" s="19"/>
      <c r="I12" s="19"/>
      <c r="J12" s="19"/>
      <c r="K12" s="19"/>
      <c r="L12" s="19"/>
      <c r="M12" s="22"/>
      <c r="N12" s="185"/>
    </row>
    <row r="13" spans="1:14" s="186" customFormat="1" ht="15" customHeight="1" x14ac:dyDescent="0.3">
      <c r="A13" s="187" t="s">
        <v>43</v>
      </c>
      <c r="B13" s="188" t="s">
        <v>165</v>
      </c>
      <c r="C13" s="189" t="s">
        <v>12</v>
      </c>
      <c r="D13" s="23"/>
      <c r="E13" s="19"/>
      <c r="F13" s="25"/>
      <c r="G13" s="25"/>
      <c r="H13" s="19"/>
      <c r="I13" s="19"/>
      <c r="J13" s="19"/>
      <c r="K13" s="19"/>
      <c r="L13" s="19"/>
      <c r="M13" s="22"/>
      <c r="N13" s="185"/>
    </row>
    <row r="14" spans="1:14" s="186" customFormat="1" ht="15" customHeight="1" x14ac:dyDescent="0.3">
      <c r="A14" s="20"/>
      <c r="B14" s="26"/>
      <c r="C14" s="22"/>
      <c r="D14" s="19">
        <v>2</v>
      </c>
      <c r="E14" s="19"/>
      <c r="F14" s="25">
        <v>76.91</v>
      </c>
      <c r="G14" s="19">
        <v>2.1</v>
      </c>
      <c r="H14" s="19"/>
      <c r="I14" s="19"/>
      <c r="J14" s="19"/>
      <c r="K14" s="19"/>
      <c r="L14" s="19"/>
      <c r="M14" s="22"/>
      <c r="N14" s="191">
        <f>PRODUCT(F14,G14)*D14</f>
        <v>323.02199999999999</v>
      </c>
    </row>
    <row r="15" spans="1:14" s="186" customFormat="1" ht="15" customHeight="1" x14ac:dyDescent="0.3">
      <c r="A15" s="20"/>
      <c r="B15" s="26"/>
      <c r="C15" s="22"/>
      <c r="D15" s="23"/>
      <c r="E15" s="19"/>
      <c r="F15" s="25"/>
      <c r="G15" s="25"/>
      <c r="H15" s="19"/>
      <c r="I15" s="19"/>
      <c r="J15" s="19"/>
      <c r="K15" s="19"/>
      <c r="L15" s="19"/>
      <c r="M15" s="22"/>
      <c r="N15" s="190"/>
    </row>
    <row r="16" spans="1:14" s="186" customFormat="1" ht="15" customHeight="1" x14ac:dyDescent="0.3">
      <c r="A16" s="187" t="s">
        <v>44</v>
      </c>
      <c r="B16" s="188" t="s">
        <v>180</v>
      </c>
      <c r="C16" s="189" t="s">
        <v>12</v>
      </c>
      <c r="D16" s="23"/>
      <c r="E16" s="19"/>
      <c r="F16" s="25"/>
      <c r="G16" s="25"/>
      <c r="H16" s="19"/>
      <c r="I16" s="19"/>
      <c r="J16" s="19"/>
      <c r="K16" s="19"/>
      <c r="L16" s="19"/>
      <c r="M16" s="22"/>
      <c r="N16" s="190"/>
    </row>
    <row r="17" spans="1:14" s="186" customFormat="1" ht="15" customHeight="1" x14ac:dyDescent="0.3">
      <c r="A17" s="20"/>
      <c r="B17" s="26"/>
      <c r="C17" s="22"/>
      <c r="D17" s="23"/>
      <c r="E17" s="19"/>
      <c r="F17" s="25">
        <f>1.89+3.06+4.1+0.306+1.89</f>
        <v>11.246</v>
      </c>
      <c r="G17" s="19">
        <v>2.1</v>
      </c>
      <c r="H17" s="19"/>
      <c r="I17" s="19"/>
      <c r="J17" s="19"/>
      <c r="K17" s="19"/>
      <c r="L17" s="19"/>
      <c r="M17" s="22"/>
      <c r="N17" s="191">
        <f>PRODUCT(F17,G17)</f>
        <v>23.616600000000002</v>
      </c>
    </row>
    <row r="18" spans="1:14" s="186" customFormat="1" ht="15" customHeight="1" x14ac:dyDescent="0.3">
      <c r="A18" s="20"/>
      <c r="B18" s="26"/>
      <c r="C18" s="22"/>
      <c r="D18" s="23"/>
      <c r="E18" s="19"/>
      <c r="F18" s="25"/>
      <c r="G18" s="25"/>
      <c r="H18" s="19"/>
      <c r="I18" s="19"/>
      <c r="J18" s="19"/>
      <c r="K18" s="19"/>
      <c r="L18" s="19"/>
      <c r="M18" s="22"/>
      <c r="N18" s="190"/>
    </row>
    <row r="19" spans="1:14" s="186" customFormat="1" ht="15" customHeight="1" x14ac:dyDescent="0.3">
      <c r="A19" s="187" t="s">
        <v>45</v>
      </c>
      <c r="B19" s="188" t="s">
        <v>167</v>
      </c>
      <c r="C19" s="189" t="s">
        <v>12</v>
      </c>
      <c r="D19" s="23"/>
      <c r="E19" s="19"/>
      <c r="F19" s="25"/>
      <c r="G19" s="25"/>
      <c r="H19" s="19"/>
      <c r="I19" s="19"/>
      <c r="J19" s="19"/>
      <c r="K19" s="19"/>
      <c r="L19" s="19"/>
      <c r="M19" s="22"/>
      <c r="N19" s="190"/>
    </row>
    <row r="20" spans="1:14" s="186" customFormat="1" ht="15" customHeight="1" x14ac:dyDescent="0.3">
      <c r="A20" s="20"/>
      <c r="B20" s="26"/>
      <c r="C20" s="22"/>
      <c r="D20" s="23"/>
      <c r="E20" s="25">
        <v>12</v>
      </c>
      <c r="F20" s="25"/>
      <c r="G20" s="25"/>
      <c r="H20" s="19"/>
      <c r="I20" s="19"/>
      <c r="J20" s="19"/>
      <c r="K20" s="19"/>
      <c r="L20" s="19"/>
      <c r="M20" s="22"/>
      <c r="N20" s="192">
        <f>E20</f>
        <v>12</v>
      </c>
    </row>
    <row r="21" spans="1:14" s="186" customFormat="1" ht="15" customHeight="1" x14ac:dyDescent="0.3">
      <c r="A21" s="20"/>
      <c r="B21" s="26"/>
      <c r="C21" s="22"/>
      <c r="D21" s="23"/>
      <c r="E21" s="19"/>
      <c r="F21" s="25"/>
      <c r="G21" s="25"/>
      <c r="H21" s="19"/>
      <c r="I21" s="19"/>
      <c r="J21" s="19"/>
      <c r="K21" s="19"/>
      <c r="L21" s="19"/>
      <c r="M21" s="22"/>
      <c r="N21" s="190"/>
    </row>
    <row r="22" spans="1:14" s="186" customFormat="1" ht="15" customHeight="1" x14ac:dyDescent="0.3">
      <c r="A22" s="187" t="s">
        <v>46</v>
      </c>
      <c r="B22" s="188" t="s">
        <v>181</v>
      </c>
      <c r="C22" s="189" t="s">
        <v>12</v>
      </c>
      <c r="D22" s="23"/>
      <c r="E22" s="19"/>
      <c r="F22" s="25"/>
      <c r="G22" s="25"/>
      <c r="H22" s="19"/>
      <c r="I22" s="19"/>
      <c r="J22" s="19"/>
      <c r="K22" s="19"/>
      <c r="L22" s="19"/>
      <c r="M22" s="22"/>
      <c r="N22" s="190"/>
    </row>
    <row r="23" spans="1:14" s="186" customFormat="1" ht="15" customHeight="1" x14ac:dyDescent="0.3">
      <c r="A23" s="20"/>
      <c r="B23" s="26" t="s">
        <v>182</v>
      </c>
      <c r="C23" s="22"/>
      <c r="D23" s="23"/>
      <c r="E23" s="19">
        <v>197.1</v>
      </c>
      <c r="F23" s="25"/>
      <c r="G23" s="25"/>
      <c r="H23" s="19"/>
      <c r="I23" s="19"/>
      <c r="J23" s="19"/>
      <c r="K23" s="19"/>
      <c r="L23" s="19"/>
      <c r="M23" s="22"/>
      <c r="N23" s="192">
        <f>E23</f>
        <v>197.1</v>
      </c>
    </row>
    <row r="24" spans="1:14" s="186" customFormat="1" ht="15" customHeight="1" x14ac:dyDescent="0.3">
      <c r="A24" s="20"/>
      <c r="B24" s="21"/>
      <c r="C24" s="22"/>
      <c r="D24" s="23"/>
      <c r="E24" s="19"/>
      <c r="F24" s="25"/>
      <c r="G24" s="25"/>
      <c r="H24" s="19"/>
      <c r="I24" s="19"/>
      <c r="J24" s="19"/>
      <c r="K24" s="19"/>
      <c r="L24" s="19"/>
      <c r="M24" s="22"/>
      <c r="N24" s="185"/>
    </row>
    <row r="25" spans="1:14" s="186" customFormat="1" ht="15" customHeight="1" x14ac:dyDescent="0.3">
      <c r="A25" s="187" t="s">
        <v>47</v>
      </c>
      <c r="B25" s="188" t="s">
        <v>101</v>
      </c>
      <c r="C25" s="189" t="s">
        <v>36</v>
      </c>
      <c r="D25" s="23"/>
      <c r="E25" s="19"/>
      <c r="F25" s="25"/>
      <c r="G25" s="25"/>
      <c r="H25" s="19"/>
      <c r="I25" s="19"/>
      <c r="J25" s="19"/>
      <c r="K25" s="19"/>
      <c r="L25" s="19"/>
      <c r="M25" s="22"/>
      <c r="N25" s="185"/>
    </row>
    <row r="26" spans="1:14" s="186" customFormat="1" ht="15" customHeight="1" x14ac:dyDescent="0.3">
      <c r="A26" s="20"/>
      <c r="B26" s="21"/>
      <c r="C26" s="22"/>
      <c r="D26" s="25">
        <v>1</v>
      </c>
      <c r="E26" s="19"/>
      <c r="F26" s="25"/>
      <c r="G26" s="25"/>
      <c r="H26" s="19"/>
      <c r="I26" s="19"/>
      <c r="J26" s="19"/>
      <c r="K26" s="19"/>
      <c r="L26" s="19"/>
      <c r="M26" s="22"/>
      <c r="N26" s="191">
        <f>D26</f>
        <v>1</v>
      </c>
    </row>
    <row r="27" spans="1:14" s="186" customFormat="1" ht="15" customHeight="1" x14ac:dyDescent="0.3">
      <c r="A27" s="20"/>
      <c r="B27" s="21"/>
      <c r="C27" s="22"/>
      <c r="D27" s="25"/>
      <c r="E27" s="19"/>
      <c r="F27" s="25"/>
      <c r="G27" s="25"/>
      <c r="H27" s="19"/>
      <c r="I27" s="19"/>
      <c r="J27" s="19"/>
      <c r="K27" s="19"/>
      <c r="L27" s="19"/>
      <c r="M27" s="22"/>
      <c r="N27" s="185"/>
    </row>
    <row r="28" spans="1:14" s="186" customFormat="1" ht="15" customHeight="1" x14ac:dyDescent="0.3">
      <c r="A28" s="187" t="s">
        <v>73</v>
      </c>
      <c r="B28" s="188" t="s">
        <v>169</v>
      </c>
      <c r="C28" s="189" t="s">
        <v>36</v>
      </c>
      <c r="D28" s="25"/>
      <c r="E28" s="19"/>
      <c r="F28" s="25"/>
      <c r="G28" s="25"/>
      <c r="H28" s="19"/>
      <c r="I28" s="19"/>
      <c r="J28" s="19"/>
      <c r="K28" s="19"/>
      <c r="L28" s="19"/>
      <c r="M28" s="22"/>
      <c r="N28" s="185"/>
    </row>
    <row r="29" spans="1:14" s="186" customFormat="1" ht="15" customHeight="1" x14ac:dyDescent="0.3">
      <c r="A29" s="20"/>
      <c r="B29" s="21"/>
      <c r="C29" s="22"/>
      <c r="D29" s="25">
        <v>1</v>
      </c>
      <c r="E29" s="19"/>
      <c r="F29" s="25"/>
      <c r="G29" s="25"/>
      <c r="H29" s="19"/>
      <c r="I29" s="19"/>
      <c r="J29" s="19"/>
      <c r="K29" s="19"/>
      <c r="L29" s="19"/>
      <c r="M29" s="22"/>
      <c r="N29" s="191">
        <f>D29</f>
        <v>1</v>
      </c>
    </row>
    <row r="30" spans="1:14" ht="15" customHeight="1" x14ac:dyDescent="0.3">
      <c r="A30" s="20"/>
      <c r="B30" s="21"/>
      <c r="C30" s="24"/>
      <c r="D30" s="193"/>
      <c r="E30" s="19"/>
      <c r="F30" s="25"/>
      <c r="G30" s="25"/>
      <c r="H30" s="19"/>
      <c r="I30" s="19"/>
      <c r="J30" s="19"/>
      <c r="K30" s="19"/>
      <c r="L30" s="19"/>
      <c r="M30" s="22"/>
      <c r="N30" s="185"/>
    </row>
    <row r="31" spans="1:14" ht="15" customHeight="1" x14ac:dyDescent="0.3">
      <c r="A31" s="187" t="s">
        <v>74</v>
      </c>
      <c r="B31" s="188" t="s">
        <v>170</v>
      </c>
      <c r="C31" s="189" t="s">
        <v>97</v>
      </c>
      <c r="D31" s="193"/>
      <c r="E31" s="19"/>
      <c r="F31" s="25"/>
      <c r="G31" s="25"/>
      <c r="H31" s="19"/>
      <c r="I31" s="19"/>
      <c r="J31" s="19"/>
      <c r="K31" s="19"/>
      <c r="L31" s="19"/>
      <c r="M31" s="22"/>
      <c r="N31" s="185"/>
    </row>
    <row r="32" spans="1:14" ht="15" customHeight="1" x14ac:dyDescent="0.3">
      <c r="A32" s="13"/>
      <c r="B32" s="14" t="s">
        <v>183</v>
      </c>
      <c r="C32" s="15"/>
      <c r="D32" s="16">
        <v>6</v>
      </c>
      <c r="E32" s="16"/>
      <c r="F32" s="16"/>
      <c r="G32" s="16"/>
      <c r="H32" s="16"/>
      <c r="I32" s="16"/>
      <c r="J32" s="16"/>
      <c r="K32" s="16"/>
      <c r="L32" s="16"/>
      <c r="M32" s="15"/>
      <c r="N32" s="185"/>
    </row>
    <row r="33" spans="1:14" ht="15" customHeight="1" x14ac:dyDescent="0.3">
      <c r="A33" s="13"/>
      <c r="B33" s="14" t="s">
        <v>184</v>
      </c>
      <c r="C33" s="12"/>
      <c r="D33" s="16">
        <v>220</v>
      </c>
      <c r="E33" s="11"/>
      <c r="F33" s="11"/>
      <c r="G33" s="11"/>
      <c r="H33" s="11"/>
      <c r="I33" s="11"/>
      <c r="J33" s="11"/>
      <c r="K33" s="11"/>
      <c r="L33" s="11"/>
      <c r="M33" s="12"/>
    </row>
    <row r="34" spans="1:14" ht="15" customHeight="1" x14ac:dyDescent="0.3">
      <c r="A34" s="13"/>
      <c r="B34" s="14" t="s">
        <v>185</v>
      </c>
      <c r="C34" s="12"/>
      <c r="D34" s="16">
        <v>110</v>
      </c>
      <c r="E34" s="11"/>
      <c r="F34" s="11"/>
      <c r="G34" s="11"/>
      <c r="H34" s="11"/>
      <c r="I34" s="11"/>
      <c r="J34" s="11"/>
      <c r="K34" s="11"/>
      <c r="L34" s="11"/>
      <c r="M34" s="12"/>
      <c r="N34" s="192">
        <f>PRODUCT(D32,D34)</f>
        <v>660</v>
      </c>
    </row>
    <row r="35" spans="1:14" ht="15" customHeight="1" x14ac:dyDescent="0.3">
      <c r="A35" s="13"/>
      <c r="B35" s="18"/>
      <c r="C35" s="12"/>
      <c r="D35" s="11"/>
      <c r="E35" s="11"/>
      <c r="F35" s="11"/>
      <c r="G35" s="11"/>
      <c r="H35" s="11"/>
      <c r="I35" s="11"/>
      <c r="J35" s="11"/>
      <c r="K35" s="11"/>
      <c r="L35" s="11"/>
      <c r="M35" s="12"/>
      <c r="N35" s="185"/>
    </row>
    <row r="36" spans="1:14" ht="15" customHeight="1" x14ac:dyDescent="0.25">
      <c r="A36" s="6" t="s">
        <v>48</v>
      </c>
      <c r="B36" s="7" t="s">
        <v>193</v>
      </c>
      <c r="C36" s="8"/>
      <c r="D36" s="9"/>
      <c r="E36" s="9"/>
      <c r="F36" s="9"/>
      <c r="G36" s="9"/>
      <c r="H36" s="9"/>
      <c r="I36" s="9"/>
      <c r="J36" s="9"/>
      <c r="K36" s="9"/>
      <c r="L36" s="9"/>
      <c r="M36" s="8"/>
      <c r="N36" s="10"/>
    </row>
    <row r="37" spans="1:14" ht="15" customHeight="1" x14ac:dyDescent="0.3">
      <c r="A37" s="187" t="s">
        <v>50</v>
      </c>
      <c r="B37" s="194" t="s">
        <v>187</v>
      </c>
      <c r="C37" s="189" t="s">
        <v>97</v>
      </c>
      <c r="D37" s="16"/>
      <c r="E37" s="16"/>
      <c r="F37" s="16"/>
      <c r="G37" s="16"/>
      <c r="H37" s="16"/>
      <c r="I37" s="16"/>
      <c r="J37" s="16"/>
      <c r="K37" s="15"/>
      <c r="L37" s="27"/>
      <c r="M37" s="28"/>
      <c r="N37" s="195"/>
    </row>
    <row r="38" spans="1:14" ht="15" customHeight="1" x14ac:dyDescent="0.3">
      <c r="A38" s="13"/>
      <c r="B38" s="196" t="s">
        <v>439</v>
      </c>
      <c r="C38" s="29" t="s">
        <v>97</v>
      </c>
      <c r="D38" s="197">
        <v>55</v>
      </c>
      <c r="E38" s="16"/>
      <c r="F38" s="16"/>
      <c r="G38" s="16"/>
      <c r="H38" s="16"/>
      <c r="I38" s="16"/>
      <c r="J38" s="16"/>
      <c r="K38" s="15"/>
      <c r="L38" s="27"/>
      <c r="M38" s="28"/>
      <c r="N38" s="195"/>
    </row>
    <row r="39" spans="1:14" ht="15" customHeight="1" x14ac:dyDescent="0.3">
      <c r="A39" s="13"/>
      <c r="B39" s="196" t="s">
        <v>186</v>
      </c>
      <c r="C39" s="15" t="s">
        <v>175</v>
      </c>
      <c r="D39" s="17">
        <v>6</v>
      </c>
      <c r="E39" s="16"/>
      <c r="F39" s="16"/>
      <c r="G39" s="16"/>
      <c r="H39" s="16"/>
      <c r="I39" s="16"/>
      <c r="J39" s="16"/>
      <c r="K39" s="15"/>
      <c r="L39" s="27"/>
      <c r="M39" s="28"/>
      <c r="N39" s="195"/>
    </row>
    <row r="40" spans="1:14" ht="15" customHeight="1" x14ac:dyDescent="0.3">
      <c r="A40" s="13"/>
      <c r="B40" s="29"/>
      <c r="C40" s="15"/>
      <c r="D40" s="16"/>
      <c r="E40" s="16"/>
      <c r="F40" s="16"/>
      <c r="G40" s="16"/>
      <c r="H40" s="16"/>
      <c r="I40" s="16"/>
      <c r="J40" s="16"/>
      <c r="K40" s="15"/>
      <c r="L40" s="27"/>
      <c r="M40" s="28"/>
      <c r="N40" s="198">
        <f>PRODUCT(D38,D39)</f>
        <v>330</v>
      </c>
    </row>
    <row r="41" spans="1:14" ht="15" customHeight="1" x14ac:dyDescent="0.3">
      <c r="A41" s="187" t="s">
        <v>51</v>
      </c>
      <c r="B41" s="194" t="s">
        <v>284</v>
      </c>
      <c r="C41" s="189" t="s">
        <v>97</v>
      </c>
      <c r="D41" s="16"/>
      <c r="E41" s="16"/>
      <c r="F41" s="16"/>
      <c r="G41" s="16"/>
      <c r="H41" s="16"/>
      <c r="I41" s="16"/>
      <c r="J41" s="16"/>
      <c r="K41" s="15"/>
      <c r="L41" s="27"/>
      <c r="M41" s="28"/>
      <c r="N41" s="195"/>
    </row>
    <row r="42" spans="1:14" ht="15" customHeight="1" x14ac:dyDescent="0.3">
      <c r="A42" s="13"/>
      <c r="B42" s="196" t="s">
        <v>440</v>
      </c>
      <c r="C42" s="29" t="s">
        <v>97</v>
      </c>
      <c r="D42" s="197">
        <v>27.5</v>
      </c>
      <c r="E42" s="16"/>
      <c r="F42" s="16"/>
      <c r="G42" s="16"/>
      <c r="H42" s="16"/>
      <c r="I42" s="16"/>
      <c r="J42" s="16"/>
      <c r="K42" s="15"/>
      <c r="L42" s="27"/>
      <c r="M42" s="28"/>
      <c r="N42" s="195"/>
    </row>
    <row r="43" spans="1:14" ht="15" customHeight="1" x14ac:dyDescent="0.3">
      <c r="A43" s="13"/>
      <c r="B43" s="196" t="s">
        <v>186</v>
      </c>
      <c r="C43" s="15" t="s">
        <v>175</v>
      </c>
      <c r="D43" s="17">
        <v>6</v>
      </c>
      <c r="E43" s="16"/>
      <c r="F43" s="16"/>
      <c r="G43" s="16"/>
      <c r="H43" s="16"/>
      <c r="I43" s="16"/>
      <c r="J43" s="16"/>
      <c r="K43" s="15"/>
      <c r="L43" s="27"/>
      <c r="M43" s="28"/>
      <c r="N43" s="195"/>
    </row>
    <row r="44" spans="1:14" ht="15" customHeight="1" x14ac:dyDescent="0.3">
      <c r="A44" s="13"/>
      <c r="B44" s="29"/>
      <c r="C44" s="15"/>
      <c r="D44" s="16"/>
      <c r="E44" s="16"/>
      <c r="F44" s="16"/>
      <c r="G44" s="16"/>
      <c r="H44" s="16"/>
      <c r="I44" s="16"/>
      <c r="J44" s="16"/>
      <c r="K44" s="15"/>
      <c r="L44" s="27"/>
      <c r="M44" s="28"/>
      <c r="N44" s="198">
        <f>PRODUCT(D42,D43)</f>
        <v>165</v>
      </c>
    </row>
    <row r="45" spans="1:14" ht="15" customHeight="1" x14ac:dyDescent="0.3">
      <c r="A45" s="187" t="s">
        <v>52</v>
      </c>
      <c r="B45" s="194" t="s">
        <v>173</v>
      </c>
      <c r="C45" s="189" t="s">
        <v>97</v>
      </c>
      <c r="D45" s="16"/>
      <c r="E45" s="16"/>
      <c r="F45" s="16"/>
      <c r="G45" s="16"/>
      <c r="H45" s="16"/>
      <c r="I45" s="16"/>
      <c r="J45" s="16"/>
      <c r="K45" s="15"/>
      <c r="L45" s="27"/>
      <c r="M45" s="28"/>
      <c r="N45" s="195"/>
    </row>
    <row r="46" spans="1:14" ht="15" customHeight="1" x14ac:dyDescent="0.3">
      <c r="A46" s="13"/>
      <c r="B46" s="30" t="s">
        <v>188</v>
      </c>
      <c r="C46" s="15" t="s">
        <v>97</v>
      </c>
      <c r="D46" s="199">
        <f>14*20</f>
        <v>280</v>
      </c>
      <c r="E46" s="16"/>
      <c r="F46" s="16"/>
      <c r="G46" s="16"/>
      <c r="H46" s="16"/>
      <c r="I46" s="31"/>
      <c r="J46" s="16"/>
      <c r="K46" s="15"/>
      <c r="L46" s="27"/>
      <c r="M46" s="28"/>
      <c r="N46" s="195"/>
    </row>
    <row r="47" spans="1:14" ht="15" customHeight="1" x14ac:dyDescent="0.3">
      <c r="A47" s="13"/>
      <c r="B47" s="30" t="s">
        <v>189</v>
      </c>
      <c r="C47" s="15" t="s">
        <v>97</v>
      </c>
      <c r="D47" s="199">
        <f>48*4</f>
        <v>192</v>
      </c>
      <c r="E47" s="16"/>
      <c r="F47" s="16"/>
      <c r="G47" s="16"/>
      <c r="H47" s="16"/>
      <c r="I47" s="31"/>
      <c r="J47" s="16"/>
      <c r="K47" s="15"/>
      <c r="L47" s="27"/>
      <c r="M47" s="28"/>
      <c r="N47" s="195"/>
    </row>
    <row r="48" spans="1:14" ht="15" customHeight="1" x14ac:dyDescent="0.3">
      <c r="A48" s="13"/>
      <c r="B48" s="30" t="s">
        <v>190</v>
      </c>
      <c r="C48" s="15" t="s">
        <v>97</v>
      </c>
      <c r="D48" s="199">
        <v>12</v>
      </c>
      <c r="E48" s="16"/>
      <c r="F48" s="16"/>
      <c r="G48" s="16"/>
      <c r="H48" s="16"/>
      <c r="I48" s="31"/>
      <c r="J48" s="16"/>
      <c r="K48" s="15"/>
      <c r="L48" s="27"/>
      <c r="M48" s="28"/>
      <c r="N48" s="195"/>
    </row>
    <row r="49" spans="1:14" ht="15" customHeight="1" x14ac:dyDescent="0.3">
      <c r="A49" s="13"/>
      <c r="B49" s="200" t="s">
        <v>191</v>
      </c>
      <c r="C49" s="15"/>
      <c r="D49" s="17">
        <f>SUM(D46:D48)</f>
        <v>484</v>
      </c>
      <c r="E49" s="16"/>
      <c r="F49" s="16"/>
      <c r="G49" s="16"/>
      <c r="H49" s="16"/>
      <c r="I49" s="31"/>
      <c r="J49" s="16"/>
      <c r="K49" s="15"/>
      <c r="L49" s="27"/>
      <c r="M49" s="28"/>
      <c r="N49" s="195"/>
    </row>
    <row r="50" spans="1:14" ht="15" customHeight="1" x14ac:dyDescent="0.3">
      <c r="A50" s="13"/>
      <c r="B50" s="200" t="s">
        <v>192</v>
      </c>
      <c r="C50" s="15" t="s">
        <v>175</v>
      </c>
      <c r="D50" s="17">
        <v>6</v>
      </c>
      <c r="E50" s="16"/>
      <c r="F50" s="16"/>
      <c r="G50" s="16"/>
      <c r="H50" s="16"/>
      <c r="I50" s="31"/>
      <c r="J50" s="16"/>
      <c r="K50" s="15"/>
      <c r="L50" s="27"/>
      <c r="M50" s="28"/>
      <c r="N50" s="195"/>
    </row>
    <row r="51" spans="1:14" ht="15" customHeight="1" x14ac:dyDescent="0.3">
      <c r="A51" s="13"/>
      <c r="B51" s="29"/>
      <c r="C51" s="15"/>
      <c r="D51" s="16"/>
      <c r="E51" s="16"/>
      <c r="F51" s="16"/>
      <c r="G51" s="16"/>
      <c r="H51" s="16"/>
      <c r="I51" s="16"/>
      <c r="J51" s="16"/>
      <c r="K51" s="15"/>
      <c r="L51" s="27"/>
      <c r="M51" s="28"/>
      <c r="N51" s="198">
        <f>PRODUCT(D49,D50)</f>
        <v>2904</v>
      </c>
    </row>
    <row r="52" spans="1:14" ht="15" customHeight="1" x14ac:dyDescent="0.3">
      <c r="A52" s="13"/>
      <c r="B52" s="18"/>
      <c r="C52" s="12"/>
      <c r="D52" s="11"/>
      <c r="E52" s="11"/>
      <c r="F52" s="11"/>
      <c r="G52" s="11"/>
      <c r="H52" s="11"/>
      <c r="I52" s="11"/>
      <c r="J52" s="11"/>
      <c r="K52" s="11"/>
      <c r="L52" s="11"/>
      <c r="M52" s="12"/>
      <c r="N52" s="185"/>
    </row>
    <row r="53" spans="1:14" ht="15" customHeight="1" x14ac:dyDescent="0.25">
      <c r="A53" s="6" t="s">
        <v>53</v>
      </c>
      <c r="B53" s="7" t="s">
        <v>40</v>
      </c>
      <c r="C53" s="8"/>
      <c r="D53" s="9"/>
      <c r="E53" s="9"/>
      <c r="F53" s="9"/>
      <c r="G53" s="9"/>
      <c r="H53" s="9"/>
      <c r="I53" s="9"/>
      <c r="J53" s="9"/>
      <c r="K53" s="9"/>
      <c r="L53" s="9"/>
      <c r="M53" s="8"/>
      <c r="N53" s="10"/>
    </row>
    <row r="54" spans="1:14" ht="15" customHeight="1" x14ac:dyDescent="0.3">
      <c r="A54" s="187" t="s">
        <v>54</v>
      </c>
      <c r="B54" s="194" t="s">
        <v>84</v>
      </c>
      <c r="C54" s="189"/>
      <c r="D54" s="11"/>
      <c r="E54" s="11"/>
      <c r="F54" s="11"/>
      <c r="G54" s="11"/>
      <c r="H54" s="11"/>
      <c r="I54" s="11"/>
      <c r="J54" s="11"/>
      <c r="K54" s="11"/>
      <c r="L54" s="11"/>
      <c r="M54" s="12"/>
      <c r="N54" s="185"/>
    </row>
    <row r="55" spans="1:14" ht="15" customHeight="1" x14ac:dyDescent="0.3">
      <c r="A55" s="13"/>
      <c r="B55" s="14" t="s">
        <v>216</v>
      </c>
      <c r="C55" s="12"/>
      <c r="D55" s="11"/>
      <c r="E55" s="11"/>
      <c r="F55" s="16">
        <v>17.899999999999999</v>
      </c>
      <c r="G55" s="16">
        <v>3.1</v>
      </c>
      <c r="H55" s="11"/>
      <c r="I55" s="11"/>
      <c r="J55" s="11"/>
      <c r="K55" s="11"/>
      <c r="L55" s="11"/>
      <c r="M55" s="12"/>
      <c r="N55" s="185">
        <f>PRODUCT(F55,G55)</f>
        <v>55.489999999999995</v>
      </c>
    </row>
    <row r="56" spans="1:14" ht="15" customHeight="1" x14ac:dyDescent="0.3">
      <c r="A56" s="13"/>
      <c r="B56" s="14" t="s">
        <v>217</v>
      </c>
      <c r="C56" s="12"/>
      <c r="D56" s="11"/>
      <c r="E56" s="11"/>
      <c r="F56" s="16">
        <v>17.899999999999999</v>
      </c>
      <c r="G56" s="16">
        <v>3.1</v>
      </c>
      <c r="H56" s="11"/>
      <c r="I56" s="11"/>
      <c r="J56" s="11"/>
      <c r="K56" s="11"/>
      <c r="L56" s="11"/>
      <c r="M56" s="12"/>
      <c r="N56" s="185">
        <f t="shared" ref="N56:N58" si="0">PRODUCT(F56,G56)</f>
        <v>55.489999999999995</v>
      </c>
    </row>
    <row r="57" spans="1:14" ht="15" customHeight="1" x14ac:dyDescent="0.3">
      <c r="A57" s="13"/>
      <c r="B57" s="14" t="s">
        <v>219</v>
      </c>
      <c r="C57" s="12"/>
      <c r="D57" s="11"/>
      <c r="E57" s="11"/>
      <c r="F57" s="16">
        <v>12.22</v>
      </c>
      <c r="G57" s="16">
        <v>3.1</v>
      </c>
      <c r="H57" s="11"/>
      <c r="I57" s="11"/>
      <c r="J57" s="11"/>
      <c r="K57" s="11"/>
      <c r="L57" s="11"/>
      <c r="M57" s="12"/>
      <c r="N57" s="185">
        <f t="shared" si="0"/>
        <v>37.882000000000005</v>
      </c>
    </row>
    <row r="58" spans="1:14" ht="15" customHeight="1" x14ac:dyDescent="0.3">
      <c r="A58" s="13"/>
      <c r="B58" s="14" t="s">
        <v>218</v>
      </c>
      <c r="C58" s="12"/>
      <c r="D58" s="11"/>
      <c r="E58" s="11"/>
      <c r="F58" s="16">
        <v>12.22</v>
      </c>
      <c r="G58" s="16">
        <v>3.1</v>
      </c>
      <c r="H58" s="11"/>
      <c r="I58" s="11"/>
      <c r="J58" s="11"/>
      <c r="K58" s="11"/>
      <c r="L58" s="11"/>
      <c r="M58" s="12"/>
      <c r="N58" s="185">
        <f t="shared" si="0"/>
        <v>37.882000000000005</v>
      </c>
    </row>
    <row r="59" spans="1:14" ht="15" customHeight="1" x14ac:dyDescent="0.3">
      <c r="A59" s="13"/>
      <c r="B59" s="18"/>
      <c r="C59" s="12"/>
      <c r="D59" s="11"/>
      <c r="E59" s="11"/>
      <c r="F59" s="11"/>
      <c r="G59" s="11"/>
      <c r="H59" s="11"/>
      <c r="I59" s="11"/>
      <c r="J59" s="11"/>
      <c r="K59" s="11"/>
      <c r="L59" s="11"/>
      <c r="M59" s="12"/>
      <c r="N59" s="212">
        <f>SUM(N55:N58)</f>
        <v>186.744</v>
      </c>
    </row>
    <row r="60" spans="1:14" ht="15" customHeight="1" x14ac:dyDescent="0.3">
      <c r="A60" s="187" t="s">
        <v>55</v>
      </c>
      <c r="B60" s="194" t="s">
        <v>13</v>
      </c>
      <c r="C60" s="189"/>
      <c r="D60" s="11"/>
      <c r="E60" s="11"/>
      <c r="F60" s="11"/>
      <c r="G60" s="11"/>
      <c r="H60" s="11"/>
      <c r="I60" s="11"/>
      <c r="J60" s="11"/>
      <c r="K60" s="11"/>
      <c r="L60" s="11"/>
      <c r="M60" s="12"/>
      <c r="N60" s="185"/>
    </row>
    <row r="61" spans="1:14" ht="15" customHeight="1" x14ac:dyDescent="0.3">
      <c r="A61" s="13"/>
      <c r="B61" s="14" t="s">
        <v>216</v>
      </c>
      <c r="C61" s="12"/>
      <c r="D61" s="11"/>
      <c r="E61" s="11"/>
      <c r="F61" s="16">
        <v>17.899999999999999</v>
      </c>
      <c r="G61" s="16">
        <v>3.1</v>
      </c>
      <c r="H61" s="11"/>
      <c r="I61" s="11"/>
      <c r="J61" s="11"/>
      <c r="K61" s="11"/>
      <c r="L61" s="11"/>
      <c r="M61" s="12"/>
      <c r="N61" s="185">
        <f>PRODUCT(F61,G61)</f>
        <v>55.489999999999995</v>
      </c>
    </row>
    <row r="62" spans="1:14" ht="15" customHeight="1" x14ac:dyDescent="0.3">
      <c r="A62" s="13"/>
      <c r="B62" s="14" t="s">
        <v>217</v>
      </c>
      <c r="C62" s="12"/>
      <c r="D62" s="11"/>
      <c r="E62" s="11"/>
      <c r="F62" s="16">
        <v>17.899999999999999</v>
      </c>
      <c r="G62" s="16">
        <v>3.1</v>
      </c>
      <c r="H62" s="11"/>
      <c r="I62" s="11"/>
      <c r="J62" s="11"/>
      <c r="K62" s="11"/>
      <c r="L62" s="11"/>
      <c r="M62" s="12"/>
      <c r="N62" s="185">
        <f t="shared" ref="N62:N64" si="1">PRODUCT(F62,G62)</f>
        <v>55.489999999999995</v>
      </c>
    </row>
    <row r="63" spans="1:14" ht="15" customHeight="1" x14ac:dyDescent="0.3">
      <c r="A63" s="13"/>
      <c r="B63" s="14" t="s">
        <v>219</v>
      </c>
      <c r="C63" s="12"/>
      <c r="D63" s="11"/>
      <c r="E63" s="11"/>
      <c r="F63" s="16">
        <v>12.22</v>
      </c>
      <c r="G63" s="16">
        <v>3.1</v>
      </c>
      <c r="H63" s="11"/>
      <c r="I63" s="11"/>
      <c r="J63" s="11"/>
      <c r="K63" s="11"/>
      <c r="L63" s="11"/>
      <c r="M63" s="12"/>
      <c r="N63" s="185">
        <f t="shared" si="1"/>
        <v>37.882000000000005</v>
      </c>
    </row>
    <row r="64" spans="1:14" ht="15" customHeight="1" x14ac:dyDescent="0.3">
      <c r="A64" s="13"/>
      <c r="B64" s="14" t="s">
        <v>218</v>
      </c>
      <c r="C64" s="12"/>
      <c r="D64" s="11"/>
      <c r="E64" s="11"/>
      <c r="F64" s="16">
        <v>12.22</v>
      </c>
      <c r="G64" s="16">
        <v>3.1</v>
      </c>
      <c r="H64" s="11"/>
      <c r="I64" s="11"/>
      <c r="J64" s="11"/>
      <c r="K64" s="11"/>
      <c r="L64" s="11"/>
      <c r="M64" s="12"/>
      <c r="N64" s="185">
        <f t="shared" si="1"/>
        <v>37.882000000000005</v>
      </c>
    </row>
    <row r="65" spans="1:14" ht="15" customHeight="1" x14ac:dyDescent="0.3">
      <c r="A65" s="13"/>
      <c r="B65" s="18"/>
      <c r="C65" s="12"/>
      <c r="D65" s="11"/>
      <c r="E65" s="11"/>
      <c r="F65" s="11"/>
      <c r="G65" s="11"/>
      <c r="H65" s="11"/>
      <c r="I65" s="11"/>
      <c r="J65" s="11"/>
      <c r="K65" s="11"/>
      <c r="L65" s="11"/>
      <c r="M65" s="12"/>
      <c r="N65" s="212">
        <f>SUM(N61:N64)</f>
        <v>186.744</v>
      </c>
    </row>
    <row r="66" spans="1:14" ht="15" customHeight="1" x14ac:dyDescent="0.3">
      <c r="A66" s="13"/>
      <c r="B66" s="18"/>
      <c r="C66" s="12"/>
      <c r="D66" s="11"/>
      <c r="E66" s="11"/>
      <c r="F66" s="11"/>
      <c r="G66" s="11"/>
      <c r="H66" s="11"/>
      <c r="I66" s="11"/>
      <c r="J66" s="11"/>
      <c r="K66" s="11"/>
      <c r="L66" s="11"/>
      <c r="M66" s="12"/>
      <c r="N66" s="185"/>
    </row>
    <row r="67" spans="1:14" ht="15" customHeight="1" x14ac:dyDescent="0.3">
      <c r="A67" s="187" t="s">
        <v>56</v>
      </c>
      <c r="B67" s="194" t="s">
        <v>17</v>
      </c>
      <c r="C67" s="189"/>
      <c r="D67" s="11"/>
      <c r="E67" s="11"/>
      <c r="F67" s="11"/>
      <c r="G67" s="11"/>
      <c r="H67" s="11"/>
      <c r="I67" s="11"/>
      <c r="J67" s="11"/>
      <c r="K67" s="11"/>
      <c r="L67" s="11"/>
      <c r="M67" s="12"/>
      <c r="N67" s="185"/>
    </row>
    <row r="68" spans="1:14" ht="15" customHeight="1" x14ac:dyDescent="0.3">
      <c r="A68" s="13"/>
      <c r="B68" s="14"/>
      <c r="C68" s="12"/>
      <c r="D68" s="11"/>
      <c r="E68" s="16">
        <v>145.28</v>
      </c>
      <c r="F68" s="16"/>
      <c r="G68" s="16"/>
      <c r="H68" s="11"/>
      <c r="I68" s="11"/>
      <c r="J68" s="11"/>
      <c r="K68" s="11"/>
      <c r="L68" s="11"/>
      <c r="M68" s="12"/>
      <c r="N68" s="185"/>
    </row>
    <row r="69" spans="1:14" ht="15" customHeight="1" x14ac:dyDescent="0.3">
      <c r="A69" s="13"/>
      <c r="B69" s="18"/>
      <c r="C69" s="12"/>
      <c r="D69" s="11"/>
      <c r="E69" s="11"/>
      <c r="F69" s="11"/>
      <c r="G69" s="11"/>
      <c r="H69" s="11"/>
      <c r="I69" s="11"/>
      <c r="J69" s="11"/>
      <c r="K69" s="11"/>
      <c r="L69" s="11"/>
      <c r="M69" s="12"/>
      <c r="N69" s="212">
        <f>E68</f>
        <v>145.28</v>
      </c>
    </row>
    <row r="70" spans="1:14" ht="15" customHeight="1" x14ac:dyDescent="0.3">
      <c r="A70" s="13"/>
      <c r="B70" s="18"/>
      <c r="C70" s="12"/>
      <c r="D70" s="11"/>
      <c r="E70" s="11"/>
      <c r="F70" s="11"/>
      <c r="G70" s="11"/>
      <c r="H70" s="11"/>
      <c r="I70" s="11"/>
      <c r="J70" s="11"/>
      <c r="K70" s="11"/>
      <c r="L70" s="11"/>
      <c r="M70" s="12"/>
      <c r="N70" s="185"/>
    </row>
    <row r="71" spans="1:14" ht="15" customHeight="1" x14ac:dyDescent="0.3">
      <c r="A71" s="187" t="s">
        <v>75</v>
      </c>
      <c r="B71" s="194" t="s">
        <v>19</v>
      </c>
      <c r="C71" s="189"/>
      <c r="D71" s="11"/>
      <c r="E71" s="11"/>
      <c r="F71" s="11"/>
      <c r="G71" s="11"/>
      <c r="H71" s="11"/>
      <c r="I71" s="11"/>
      <c r="J71" s="11"/>
      <c r="K71" s="11"/>
      <c r="L71" s="11"/>
      <c r="M71" s="12"/>
      <c r="N71" s="185"/>
    </row>
    <row r="72" spans="1:14" ht="15" customHeight="1" x14ac:dyDescent="0.3">
      <c r="A72" s="13"/>
      <c r="B72" s="14" t="s">
        <v>220</v>
      </c>
      <c r="C72" s="12"/>
      <c r="D72" s="11"/>
      <c r="E72" s="11"/>
      <c r="F72" s="16">
        <f>5.2+5.86+5.86+5.86+3.3+3.3</f>
        <v>29.380000000000003</v>
      </c>
      <c r="G72" s="11"/>
      <c r="H72" s="11"/>
      <c r="I72" s="11"/>
      <c r="J72" s="11"/>
      <c r="K72" s="11"/>
      <c r="L72" s="11"/>
      <c r="M72" s="12"/>
      <c r="N72" s="185"/>
    </row>
    <row r="73" spans="1:14" ht="15" customHeight="1" x14ac:dyDescent="0.3">
      <c r="A73" s="13"/>
      <c r="B73" s="14" t="s">
        <v>221</v>
      </c>
      <c r="C73" s="12"/>
      <c r="D73" s="11"/>
      <c r="E73" s="11"/>
      <c r="F73" s="16">
        <f>8.37+8.37+9.74+9.74</f>
        <v>36.22</v>
      </c>
      <c r="G73" s="11"/>
      <c r="H73" s="11"/>
      <c r="I73" s="11"/>
      <c r="J73" s="11"/>
      <c r="K73" s="11"/>
      <c r="L73" s="11"/>
      <c r="M73" s="12"/>
      <c r="N73" s="185"/>
    </row>
    <row r="74" spans="1:14" ht="15" customHeight="1" x14ac:dyDescent="0.3">
      <c r="A74" s="13"/>
      <c r="B74" s="18"/>
      <c r="C74" s="12"/>
      <c r="D74" s="11"/>
      <c r="E74" s="11"/>
      <c r="F74" s="11"/>
      <c r="G74" s="11"/>
      <c r="H74" s="11"/>
      <c r="I74" s="11"/>
      <c r="J74" s="11"/>
      <c r="K74" s="11"/>
      <c r="L74" s="11"/>
      <c r="M74" s="12"/>
      <c r="N74" s="212">
        <f>SUM(F72:F73)</f>
        <v>65.599999999999994</v>
      </c>
    </row>
    <row r="75" spans="1:14" ht="15" customHeight="1" x14ac:dyDescent="0.3">
      <c r="A75" s="13"/>
      <c r="B75" s="18"/>
      <c r="C75" s="12"/>
      <c r="D75" s="11"/>
      <c r="E75" s="11"/>
      <c r="F75" s="11"/>
      <c r="G75" s="11"/>
      <c r="H75" s="11"/>
      <c r="I75" s="11"/>
      <c r="J75" s="11"/>
      <c r="K75" s="11"/>
      <c r="L75" s="11"/>
      <c r="M75" s="12"/>
      <c r="N75" s="185"/>
    </row>
    <row r="76" spans="1:14" ht="15" customHeight="1" x14ac:dyDescent="0.3">
      <c r="A76" s="187" t="s">
        <v>76</v>
      </c>
      <c r="B76" s="194" t="s">
        <v>20</v>
      </c>
      <c r="C76" s="189"/>
      <c r="D76" s="11"/>
      <c r="E76" s="11"/>
      <c r="F76" s="11"/>
      <c r="G76" s="11"/>
      <c r="H76" s="11"/>
      <c r="I76" s="11"/>
      <c r="J76" s="11"/>
      <c r="K76" s="11"/>
      <c r="L76" s="11"/>
      <c r="M76" s="12"/>
      <c r="N76" s="185"/>
    </row>
    <row r="77" spans="1:14" ht="15" customHeight="1" x14ac:dyDescent="0.3">
      <c r="A77" s="13"/>
      <c r="B77" s="14"/>
      <c r="C77" s="12"/>
      <c r="D77" s="11"/>
      <c r="E77" s="11"/>
      <c r="F77" s="16">
        <f>8.37+8.37+9.74+9.74</f>
        <v>36.22</v>
      </c>
      <c r="G77" s="16">
        <v>0.3</v>
      </c>
      <c r="H77" s="11"/>
      <c r="I77" s="11"/>
      <c r="J77" s="11"/>
      <c r="K77" s="11"/>
      <c r="L77" s="11"/>
      <c r="M77" s="12"/>
      <c r="N77" s="185"/>
    </row>
    <row r="78" spans="1:14" ht="15" customHeight="1" x14ac:dyDescent="0.3">
      <c r="A78" s="13"/>
      <c r="B78" s="14"/>
      <c r="C78" s="12"/>
      <c r="D78" s="11"/>
      <c r="E78" s="11"/>
      <c r="G78" s="11"/>
      <c r="H78" s="11"/>
      <c r="I78" s="11"/>
      <c r="J78" s="11"/>
      <c r="K78" s="11"/>
      <c r="L78" s="11"/>
      <c r="M78" s="12"/>
      <c r="N78" s="185"/>
    </row>
    <row r="79" spans="1:14" ht="15" customHeight="1" x14ac:dyDescent="0.3">
      <c r="A79" s="13"/>
      <c r="B79" s="18"/>
      <c r="C79" s="12"/>
      <c r="D79" s="11"/>
      <c r="E79" s="11"/>
      <c r="F79" s="11"/>
      <c r="G79" s="11"/>
      <c r="H79" s="11"/>
      <c r="I79" s="11"/>
      <c r="J79" s="11"/>
      <c r="K79" s="11"/>
      <c r="L79" s="11"/>
      <c r="M79" s="12"/>
      <c r="N79" s="212">
        <f>PRODUCT(F77,G77)</f>
        <v>10.866</v>
      </c>
    </row>
    <row r="80" spans="1:14" ht="15" customHeight="1" x14ac:dyDescent="0.3">
      <c r="A80" s="13"/>
      <c r="B80" s="18"/>
      <c r="C80" s="12"/>
      <c r="D80" s="11"/>
      <c r="E80" s="11"/>
      <c r="F80" s="11"/>
      <c r="G80" s="11"/>
      <c r="H80" s="11"/>
      <c r="I80" s="11"/>
      <c r="J80" s="11"/>
      <c r="K80" s="11"/>
      <c r="L80" s="11"/>
      <c r="M80" s="12"/>
      <c r="N80" s="185"/>
    </row>
    <row r="81" spans="1:14" ht="15" customHeight="1" x14ac:dyDescent="0.3">
      <c r="A81" s="187" t="s">
        <v>77</v>
      </c>
      <c r="B81" s="194" t="s">
        <v>196</v>
      </c>
      <c r="C81" s="189"/>
      <c r="D81" s="11"/>
      <c r="E81" s="11"/>
      <c r="F81" s="11"/>
      <c r="G81" s="11"/>
      <c r="H81" s="11"/>
      <c r="I81" s="11"/>
      <c r="J81" s="11"/>
      <c r="K81" s="11"/>
      <c r="L81" s="11"/>
      <c r="M81" s="12"/>
      <c r="N81" s="185"/>
    </row>
    <row r="82" spans="1:14" ht="15" customHeight="1" x14ac:dyDescent="0.3">
      <c r="A82" s="13"/>
      <c r="B82" s="14" t="s">
        <v>222</v>
      </c>
      <c r="C82" s="12"/>
      <c r="D82" s="11"/>
      <c r="E82" s="16">
        <v>19.55</v>
      </c>
      <c r="F82" s="16"/>
      <c r="G82" s="16"/>
      <c r="H82" s="11"/>
      <c r="I82" s="11"/>
      <c r="J82" s="11"/>
      <c r="K82" s="11"/>
      <c r="L82" s="11"/>
      <c r="M82" s="12"/>
      <c r="N82" s="185"/>
    </row>
    <row r="83" spans="1:14" ht="15" customHeight="1" x14ac:dyDescent="0.3">
      <c r="A83" s="13"/>
      <c r="B83" s="14" t="s">
        <v>223</v>
      </c>
      <c r="C83" s="12"/>
      <c r="D83" s="11"/>
      <c r="E83" s="16">
        <v>37.03</v>
      </c>
      <c r="G83" s="11"/>
      <c r="H83" s="11"/>
      <c r="I83" s="11"/>
      <c r="J83" s="11"/>
      <c r="K83" s="11"/>
      <c r="L83" s="11"/>
      <c r="M83" s="12"/>
      <c r="N83" s="185"/>
    </row>
    <row r="84" spans="1:14" ht="15" customHeight="1" x14ac:dyDescent="0.3">
      <c r="A84" s="13"/>
      <c r="B84" s="14" t="s">
        <v>224</v>
      </c>
      <c r="C84" s="12"/>
      <c r="D84" s="11"/>
      <c r="E84" s="16">
        <v>11.14</v>
      </c>
      <c r="G84" s="11"/>
      <c r="H84" s="11"/>
      <c r="I84" s="11"/>
      <c r="J84" s="11"/>
      <c r="K84" s="11"/>
      <c r="L84" s="11"/>
      <c r="M84" s="12"/>
      <c r="N84" s="185"/>
    </row>
    <row r="85" spans="1:14" ht="15" customHeight="1" x14ac:dyDescent="0.3">
      <c r="A85" s="13"/>
      <c r="B85" s="14" t="s">
        <v>225</v>
      </c>
      <c r="C85" s="12"/>
      <c r="D85" s="11"/>
      <c r="E85" s="16">
        <v>10.1</v>
      </c>
      <c r="G85" s="11"/>
      <c r="H85" s="11"/>
      <c r="I85" s="11"/>
      <c r="J85" s="11"/>
      <c r="K85" s="11"/>
      <c r="L85" s="11"/>
      <c r="M85" s="12"/>
      <c r="N85" s="185"/>
    </row>
    <row r="86" spans="1:14" ht="15" customHeight="1" x14ac:dyDescent="0.3">
      <c r="A86" s="13"/>
      <c r="B86" s="14" t="s">
        <v>304</v>
      </c>
      <c r="C86" s="12"/>
      <c r="D86" s="11"/>
      <c r="E86" s="16">
        <v>2.11</v>
      </c>
      <c r="G86" s="11"/>
      <c r="H86" s="11"/>
      <c r="I86" s="11"/>
      <c r="J86" s="11"/>
      <c r="K86" s="11"/>
      <c r="L86" s="11"/>
      <c r="M86" s="12"/>
      <c r="N86" s="185"/>
    </row>
    <row r="87" spans="1:14" s="236" customFormat="1" ht="15" customHeight="1" x14ac:dyDescent="0.3">
      <c r="A87" s="13"/>
      <c r="B87" s="14" t="s">
        <v>305</v>
      </c>
      <c r="C87" s="12"/>
      <c r="D87" s="11"/>
      <c r="E87" s="16">
        <v>3.22</v>
      </c>
      <c r="G87" s="11"/>
      <c r="H87" s="11"/>
      <c r="I87" s="11"/>
      <c r="J87" s="11"/>
      <c r="K87" s="11"/>
      <c r="L87" s="11"/>
      <c r="M87" s="12"/>
      <c r="N87" s="185"/>
    </row>
    <row r="88" spans="1:14" ht="15" customHeight="1" x14ac:dyDescent="0.3">
      <c r="A88" s="13"/>
      <c r="B88" s="18"/>
      <c r="C88" s="12"/>
      <c r="D88" s="11"/>
      <c r="E88" s="11"/>
      <c r="F88" s="11"/>
      <c r="G88" s="11"/>
      <c r="H88" s="11"/>
      <c r="I88" s="11"/>
      <c r="J88" s="11"/>
      <c r="K88" s="11"/>
      <c r="L88" s="11"/>
      <c r="M88" s="12"/>
      <c r="N88" s="212">
        <f>SUM(E82:E87)</f>
        <v>83.149999999999991</v>
      </c>
    </row>
    <row r="89" spans="1:14" ht="15" customHeight="1" x14ac:dyDescent="0.3">
      <c r="A89" s="13"/>
      <c r="B89" s="18"/>
      <c r="C89" s="12"/>
      <c r="D89" s="11"/>
      <c r="E89" s="11"/>
      <c r="F89" s="11"/>
      <c r="G89" s="11"/>
      <c r="H89" s="11"/>
      <c r="I89" s="11"/>
      <c r="J89" s="11"/>
      <c r="K89" s="11"/>
      <c r="L89" s="11"/>
      <c r="M89" s="12"/>
      <c r="N89" s="185"/>
    </row>
    <row r="90" spans="1:14" ht="15" customHeight="1" x14ac:dyDescent="0.25">
      <c r="A90" s="6" t="s">
        <v>57</v>
      </c>
      <c r="B90" s="7" t="s">
        <v>49</v>
      </c>
      <c r="C90" s="8"/>
      <c r="D90" s="9"/>
      <c r="E90" s="9"/>
      <c r="F90" s="9"/>
      <c r="G90" s="9"/>
      <c r="H90" s="9"/>
      <c r="I90" s="9"/>
      <c r="J90" s="9"/>
      <c r="K90" s="9"/>
      <c r="L90" s="9"/>
      <c r="M90" s="8"/>
      <c r="N90" s="10"/>
    </row>
    <row r="91" spans="1:14" ht="15" customHeight="1" x14ac:dyDescent="0.3">
      <c r="A91" s="187" t="s">
        <v>58</v>
      </c>
      <c r="B91" s="188" t="s">
        <v>124</v>
      </c>
      <c r="C91" s="213"/>
      <c r="D91" s="11"/>
      <c r="E91" s="11"/>
      <c r="F91" s="11"/>
      <c r="G91" s="11"/>
      <c r="H91" s="11"/>
      <c r="I91" s="11"/>
      <c r="J91" s="11"/>
      <c r="K91" s="11"/>
      <c r="L91" s="11"/>
      <c r="M91" s="12"/>
      <c r="N91" s="185"/>
    </row>
    <row r="92" spans="1:14" ht="15" customHeight="1" x14ac:dyDescent="0.3">
      <c r="A92" s="13"/>
      <c r="B92" s="18"/>
      <c r="C92" s="12"/>
      <c r="D92" s="11"/>
      <c r="E92" s="16">
        <v>145.28</v>
      </c>
      <c r="F92" s="11"/>
      <c r="G92" s="11"/>
      <c r="H92" s="11"/>
      <c r="I92" s="11"/>
      <c r="J92" s="11"/>
      <c r="K92" s="11"/>
      <c r="L92" s="11"/>
      <c r="M92" s="12"/>
      <c r="N92" s="185"/>
    </row>
    <row r="93" spans="1:14" ht="15" customHeight="1" x14ac:dyDescent="0.3">
      <c r="A93" s="13"/>
      <c r="B93" s="18"/>
      <c r="C93" s="12"/>
      <c r="D93" s="11"/>
      <c r="E93" s="11"/>
      <c r="F93" s="11"/>
      <c r="G93" s="11"/>
      <c r="H93" s="11"/>
      <c r="I93" s="11"/>
      <c r="J93" s="11"/>
      <c r="K93" s="11"/>
      <c r="L93" s="11"/>
      <c r="M93" s="12"/>
      <c r="N93" s="214">
        <f>E92</f>
        <v>145.28</v>
      </c>
    </row>
    <row r="94" spans="1:14" ht="15" customHeight="1" x14ac:dyDescent="0.3">
      <c r="A94" s="13"/>
      <c r="B94" s="18"/>
      <c r="C94" s="12"/>
      <c r="D94" s="11"/>
      <c r="E94" s="11"/>
      <c r="F94" s="11"/>
      <c r="G94" s="11"/>
      <c r="H94" s="11"/>
      <c r="I94" s="11"/>
      <c r="J94" s="11"/>
      <c r="K94" s="11"/>
      <c r="L94" s="11"/>
      <c r="M94" s="12"/>
      <c r="N94" s="185"/>
    </row>
    <row r="95" spans="1:14" ht="15" customHeight="1" x14ac:dyDescent="0.3">
      <c r="A95" s="187" t="s">
        <v>59</v>
      </c>
      <c r="B95" s="188" t="s">
        <v>215</v>
      </c>
      <c r="C95" s="213"/>
      <c r="D95" s="11"/>
      <c r="E95" s="11"/>
      <c r="F95" s="11"/>
      <c r="G95" s="11"/>
      <c r="H95" s="11"/>
      <c r="I95" s="11"/>
      <c r="J95" s="11"/>
      <c r="K95" s="11"/>
      <c r="L95" s="11"/>
      <c r="M95" s="12"/>
      <c r="N95" s="185"/>
    </row>
    <row r="96" spans="1:14" ht="15" customHeight="1" x14ac:dyDescent="0.3">
      <c r="A96" s="13"/>
      <c r="B96" s="18"/>
      <c r="C96" s="12"/>
      <c r="D96" s="11"/>
      <c r="E96" s="16">
        <v>145.28</v>
      </c>
      <c r="F96" s="11"/>
      <c r="G96" s="11"/>
      <c r="H96" s="11"/>
      <c r="I96" s="11"/>
      <c r="J96" s="11"/>
      <c r="K96" s="11"/>
      <c r="L96" s="11"/>
      <c r="M96" s="12"/>
      <c r="N96" s="214">
        <f>E96</f>
        <v>145.28</v>
      </c>
    </row>
    <row r="97" spans="1:14" ht="15" customHeight="1" x14ac:dyDescent="0.3">
      <c r="A97" s="13"/>
      <c r="B97" s="18"/>
      <c r="C97" s="12"/>
      <c r="D97" s="11"/>
      <c r="E97" s="11"/>
      <c r="F97" s="11"/>
      <c r="G97" s="11"/>
      <c r="H97" s="11"/>
      <c r="I97" s="11"/>
      <c r="J97" s="11"/>
      <c r="K97" s="11"/>
      <c r="L97" s="11"/>
      <c r="M97" s="12"/>
    </row>
    <row r="98" spans="1:14" ht="15" customHeight="1" x14ac:dyDescent="0.3">
      <c r="A98" s="187" t="s">
        <v>60</v>
      </c>
      <c r="B98" s="188" t="s">
        <v>22</v>
      </c>
      <c r="C98" s="213"/>
      <c r="D98" s="11"/>
      <c r="E98" s="11"/>
      <c r="F98" s="11"/>
      <c r="G98" s="11"/>
      <c r="H98" s="11"/>
      <c r="I98" s="11"/>
      <c r="J98" s="11"/>
      <c r="K98" s="11"/>
      <c r="L98" s="11"/>
      <c r="M98" s="12"/>
      <c r="N98" s="185"/>
    </row>
    <row r="99" spans="1:14" ht="15" customHeight="1" x14ac:dyDescent="0.3">
      <c r="A99" s="13"/>
      <c r="B99" s="18"/>
      <c r="C99" s="12"/>
      <c r="D99" s="11"/>
      <c r="E99" s="16"/>
      <c r="F99" s="16">
        <f>8.37+8.37+9.74+9.74</f>
        <v>36.22</v>
      </c>
      <c r="G99" s="16">
        <v>0.3</v>
      </c>
      <c r="H99" s="11"/>
      <c r="I99" s="11"/>
      <c r="J99" s="11"/>
      <c r="K99" s="11"/>
      <c r="L99" s="11"/>
      <c r="M99" s="12"/>
      <c r="N99" s="185"/>
    </row>
    <row r="100" spans="1:14" ht="15" customHeight="1" x14ac:dyDescent="0.3">
      <c r="A100" s="13"/>
      <c r="B100" s="18"/>
      <c r="C100" s="12"/>
      <c r="D100" s="11"/>
      <c r="E100" s="11"/>
      <c r="F100" s="11"/>
      <c r="G100" s="11"/>
      <c r="H100" s="11"/>
      <c r="I100" s="11"/>
      <c r="J100" s="11"/>
      <c r="K100" s="11"/>
      <c r="L100" s="11"/>
      <c r="M100" s="12"/>
      <c r="N100" s="212">
        <f>PRODUCT(F99,G99)</f>
        <v>10.866</v>
      </c>
    </row>
    <row r="101" spans="1:14" ht="15" customHeight="1" x14ac:dyDescent="0.3">
      <c r="A101" s="13"/>
      <c r="B101" s="18"/>
      <c r="C101" s="12"/>
      <c r="D101" s="11"/>
      <c r="E101" s="11"/>
      <c r="F101" s="11"/>
      <c r="G101" s="11"/>
      <c r="H101" s="11"/>
      <c r="I101" s="11"/>
      <c r="J101" s="11"/>
      <c r="K101" s="11"/>
      <c r="L101" s="11"/>
      <c r="M101" s="12"/>
      <c r="N101" s="185"/>
    </row>
    <row r="102" spans="1:14" ht="15" customHeight="1" x14ac:dyDescent="0.3">
      <c r="A102" s="187" t="s">
        <v>79</v>
      </c>
      <c r="B102" s="188" t="s">
        <v>226</v>
      </c>
      <c r="C102" s="213"/>
      <c r="D102" s="11"/>
      <c r="E102" s="11"/>
      <c r="F102" s="11"/>
      <c r="G102" s="11"/>
      <c r="H102" s="11"/>
      <c r="I102" s="11"/>
      <c r="J102" s="11"/>
      <c r="K102" s="11"/>
      <c r="L102" s="11"/>
      <c r="M102" s="12"/>
      <c r="N102" s="185"/>
    </row>
    <row r="103" spans="1:14" ht="15" customHeight="1" x14ac:dyDescent="0.3">
      <c r="A103" s="13"/>
      <c r="B103" s="18"/>
      <c r="C103" s="12"/>
      <c r="D103" s="11"/>
      <c r="E103" s="16">
        <v>145.28</v>
      </c>
      <c r="F103" s="11"/>
      <c r="G103" s="11"/>
      <c r="H103" s="11"/>
      <c r="I103" s="11"/>
      <c r="J103" s="11"/>
      <c r="K103" s="11"/>
      <c r="L103" s="11"/>
      <c r="M103" s="12"/>
      <c r="N103" s="185"/>
    </row>
    <row r="104" spans="1:14" ht="15" customHeight="1" x14ac:dyDescent="0.3">
      <c r="A104" s="13"/>
      <c r="B104" s="18"/>
      <c r="C104" s="12"/>
      <c r="D104" s="11"/>
      <c r="E104" s="11"/>
      <c r="F104" s="11"/>
      <c r="G104" s="11"/>
      <c r="H104" s="11"/>
      <c r="I104" s="11"/>
      <c r="J104" s="11"/>
      <c r="K104" s="11"/>
      <c r="L104" s="11"/>
      <c r="M104" s="12"/>
      <c r="N104" s="212">
        <f>E103</f>
        <v>145.28</v>
      </c>
    </row>
    <row r="105" spans="1:14" ht="15" customHeight="1" x14ac:dyDescent="0.3">
      <c r="A105" s="13"/>
      <c r="B105" s="18"/>
      <c r="C105" s="12"/>
      <c r="D105" s="11"/>
      <c r="E105" s="11"/>
      <c r="F105" s="11"/>
      <c r="G105" s="11"/>
      <c r="H105" s="11"/>
      <c r="I105" s="11"/>
      <c r="J105" s="11"/>
      <c r="K105" s="11"/>
      <c r="L105" s="11"/>
      <c r="M105" s="12"/>
      <c r="N105" s="185"/>
    </row>
    <row r="106" spans="1:14" ht="15" customHeight="1" x14ac:dyDescent="0.3">
      <c r="A106" s="187" t="s">
        <v>80</v>
      </c>
      <c r="B106" s="188" t="s">
        <v>444</v>
      </c>
      <c r="C106" s="213"/>
      <c r="D106" s="11"/>
      <c r="E106" s="11"/>
      <c r="F106" s="11"/>
      <c r="G106" s="11"/>
      <c r="H106" s="11"/>
      <c r="I106" s="11"/>
      <c r="J106" s="11"/>
      <c r="K106" s="11"/>
      <c r="L106" s="11"/>
      <c r="M106" s="12"/>
      <c r="N106" s="185"/>
    </row>
    <row r="107" spans="1:14" ht="15" customHeight="1" x14ac:dyDescent="0.3">
      <c r="A107" s="13"/>
      <c r="B107" s="18"/>
      <c r="C107" s="12"/>
      <c r="D107" s="11"/>
      <c r="E107" s="16">
        <v>145.28</v>
      </c>
      <c r="F107" s="11"/>
      <c r="G107" s="11"/>
      <c r="H107" s="11"/>
      <c r="I107" s="11"/>
      <c r="J107" s="11"/>
      <c r="K107" s="11"/>
      <c r="L107" s="11"/>
      <c r="M107" s="12"/>
      <c r="N107" s="185"/>
    </row>
    <row r="108" spans="1:14" ht="15" customHeight="1" x14ac:dyDescent="0.3">
      <c r="A108" s="13"/>
      <c r="B108" s="18"/>
      <c r="C108" s="12"/>
      <c r="D108" s="11"/>
      <c r="E108" s="11"/>
      <c r="F108" s="11"/>
      <c r="G108" s="11"/>
      <c r="H108" s="11"/>
      <c r="I108" s="11"/>
      <c r="J108" s="11"/>
      <c r="K108" s="11"/>
      <c r="L108" s="11"/>
      <c r="M108" s="12"/>
      <c r="N108" s="212">
        <f>E107</f>
        <v>145.28</v>
      </c>
    </row>
    <row r="109" spans="1:14" ht="15" customHeight="1" x14ac:dyDescent="0.3">
      <c r="A109" s="13"/>
      <c r="B109" s="18"/>
      <c r="C109" s="12"/>
      <c r="D109" s="11"/>
      <c r="E109" s="11"/>
      <c r="F109" s="11"/>
      <c r="G109" s="11"/>
      <c r="H109" s="11"/>
      <c r="I109" s="11"/>
      <c r="J109" s="11"/>
      <c r="K109" s="11"/>
      <c r="L109" s="11"/>
      <c r="M109" s="12"/>
      <c r="N109" s="185"/>
    </row>
    <row r="110" spans="1:14" ht="15" customHeight="1" x14ac:dyDescent="0.3">
      <c r="A110" s="187" t="s">
        <v>81</v>
      </c>
      <c r="B110" s="188" t="s">
        <v>23</v>
      </c>
      <c r="C110" s="213"/>
      <c r="D110" s="11"/>
      <c r="E110" s="11"/>
      <c r="F110" s="11"/>
      <c r="G110" s="11"/>
      <c r="H110" s="11"/>
      <c r="I110" s="11"/>
      <c r="J110" s="11"/>
      <c r="K110" s="11"/>
      <c r="L110" s="11"/>
      <c r="M110" s="12"/>
      <c r="N110" s="185"/>
    </row>
    <row r="111" spans="1:14" ht="15" customHeight="1" x14ac:dyDescent="0.3">
      <c r="A111" s="13"/>
      <c r="B111" s="18"/>
      <c r="C111" s="12"/>
      <c r="D111" s="11"/>
      <c r="E111" s="16">
        <v>145.28</v>
      </c>
      <c r="F111" s="11"/>
      <c r="G111" s="11"/>
      <c r="H111" s="11"/>
      <c r="I111" s="11"/>
      <c r="J111" s="11"/>
      <c r="K111" s="11"/>
      <c r="L111" s="11"/>
      <c r="M111" s="12"/>
      <c r="N111" s="185"/>
    </row>
    <row r="112" spans="1:14" ht="15" customHeight="1" x14ac:dyDescent="0.3">
      <c r="A112" s="13"/>
      <c r="B112" s="18"/>
      <c r="C112" s="12"/>
      <c r="D112" s="11"/>
      <c r="E112" s="11"/>
      <c r="F112" s="11"/>
      <c r="G112" s="11"/>
      <c r="H112" s="11"/>
      <c r="I112" s="11"/>
      <c r="J112" s="11"/>
      <c r="K112" s="11"/>
      <c r="L112" s="11"/>
      <c r="M112" s="12"/>
      <c r="N112" s="212">
        <f>E111</f>
        <v>145.28</v>
      </c>
    </row>
    <row r="113" spans="1:14" ht="15" customHeight="1" x14ac:dyDescent="0.3">
      <c r="A113" s="187" t="s">
        <v>82</v>
      </c>
      <c r="B113" s="188" t="s">
        <v>232</v>
      </c>
      <c r="C113" s="213"/>
      <c r="D113" s="11"/>
      <c r="E113" s="11"/>
      <c r="F113" s="11"/>
      <c r="G113" s="11"/>
      <c r="H113" s="11"/>
      <c r="I113" s="11"/>
      <c r="J113" s="11"/>
      <c r="K113" s="11"/>
      <c r="L113" s="11"/>
      <c r="M113" s="12"/>
      <c r="N113" s="185"/>
    </row>
    <row r="114" spans="1:14" ht="15" customHeight="1" x14ac:dyDescent="0.3">
      <c r="A114" s="13"/>
      <c r="B114" s="18"/>
      <c r="C114" s="12"/>
      <c r="D114" s="11"/>
      <c r="E114" s="11"/>
      <c r="F114" s="16">
        <f>2.15+2.15+6.38+2.15+2.15+7.7+2.15+2.15+5</f>
        <v>31.979999999999997</v>
      </c>
      <c r="G114" s="11"/>
      <c r="H114" s="11"/>
      <c r="I114" s="11"/>
      <c r="J114" s="11"/>
      <c r="K114" s="11"/>
      <c r="L114" s="11"/>
      <c r="M114" s="12"/>
      <c r="N114" s="185"/>
    </row>
    <row r="115" spans="1:14" ht="15" customHeight="1" x14ac:dyDescent="0.3">
      <c r="A115" s="13"/>
      <c r="B115" s="18"/>
      <c r="C115" s="12"/>
      <c r="D115" s="11"/>
      <c r="E115" s="11"/>
      <c r="F115" s="11"/>
      <c r="G115" s="11"/>
      <c r="H115" s="11"/>
      <c r="I115" s="11"/>
      <c r="J115" s="11"/>
      <c r="K115" s="11"/>
      <c r="L115" s="11"/>
      <c r="M115" s="12"/>
      <c r="N115" s="212">
        <f>F114</f>
        <v>31.979999999999997</v>
      </c>
    </row>
    <row r="116" spans="1:14" ht="15" customHeight="1" x14ac:dyDescent="0.3">
      <c r="A116" s="13"/>
      <c r="B116" s="18"/>
      <c r="C116" s="12"/>
      <c r="D116" s="11"/>
      <c r="E116" s="11"/>
      <c r="F116" s="11"/>
      <c r="G116" s="11"/>
      <c r="H116" s="11"/>
      <c r="I116" s="11"/>
      <c r="J116" s="11"/>
      <c r="K116" s="11"/>
      <c r="L116" s="11"/>
      <c r="M116" s="12"/>
      <c r="N116" s="185"/>
    </row>
    <row r="117" spans="1:14" ht="15" customHeight="1" x14ac:dyDescent="0.3">
      <c r="A117" s="13"/>
      <c r="B117" s="18"/>
      <c r="C117" s="12"/>
      <c r="D117" s="11"/>
      <c r="E117" s="11"/>
      <c r="F117" s="11"/>
      <c r="G117" s="11"/>
      <c r="H117" s="11"/>
      <c r="I117" s="11"/>
      <c r="J117" s="11"/>
      <c r="K117" s="11"/>
      <c r="L117" s="11"/>
      <c r="M117" s="12"/>
      <c r="N117" s="185"/>
    </row>
    <row r="118" spans="1:14" ht="15" customHeight="1" x14ac:dyDescent="0.3">
      <c r="A118" s="187" t="s">
        <v>83</v>
      </c>
      <c r="B118" s="188" t="s">
        <v>272</v>
      </c>
      <c r="C118" s="213"/>
      <c r="D118" s="11"/>
      <c r="E118" s="11"/>
      <c r="F118" s="11"/>
      <c r="G118" s="11"/>
      <c r="H118" s="11"/>
      <c r="I118" s="11"/>
      <c r="J118" s="11"/>
      <c r="K118" s="11"/>
      <c r="L118" s="11"/>
      <c r="M118" s="12"/>
      <c r="N118" s="185"/>
    </row>
    <row r="119" spans="1:14" ht="15" customHeight="1" x14ac:dyDescent="0.3">
      <c r="A119" s="13"/>
      <c r="B119" s="18"/>
      <c r="C119" s="12"/>
      <c r="D119" s="11"/>
      <c r="E119" s="16">
        <v>145.28</v>
      </c>
      <c r="F119" s="11"/>
      <c r="G119" s="11"/>
      <c r="H119" s="11"/>
      <c r="I119" s="11"/>
      <c r="J119" s="11"/>
      <c r="K119" s="11"/>
      <c r="L119" s="489"/>
      <c r="M119" s="15"/>
      <c r="N119" s="185"/>
    </row>
    <row r="120" spans="1:14" ht="15" customHeight="1" x14ac:dyDescent="0.3">
      <c r="A120" s="13"/>
      <c r="B120" s="18"/>
      <c r="C120" s="12"/>
      <c r="D120" s="11"/>
      <c r="E120" s="16"/>
      <c r="F120" s="11"/>
      <c r="G120" s="11"/>
      <c r="H120" s="11"/>
      <c r="I120" s="11"/>
      <c r="J120" s="11"/>
      <c r="K120" s="11"/>
      <c r="L120" s="11"/>
      <c r="M120" s="12"/>
      <c r="N120" s="185"/>
    </row>
    <row r="121" spans="1:14" ht="15" customHeight="1" x14ac:dyDescent="0.3">
      <c r="A121" s="13"/>
      <c r="B121" s="18"/>
      <c r="C121" s="12"/>
      <c r="D121" s="11"/>
      <c r="E121" s="11"/>
      <c r="F121" s="11"/>
      <c r="G121" s="11"/>
      <c r="H121" s="11"/>
      <c r="I121" s="11"/>
      <c r="J121" s="11"/>
      <c r="K121" s="11"/>
      <c r="L121" s="11"/>
      <c r="M121" s="12"/>
      <c r="N121" s="212">
        <f>E119-M119</f>
        <v>145.28</v>
      </c>
    </row>
    <row r="122" spans="1:14" ht="15" customHeight="1" x14ac:dyDescent="0.3">
      <c r="A122" s="187" t="s">
        <v>197</v>
      </c>
      <c r="B122" s="188" t="s">
        <v>24</v>
      </c>
      <c r="C122" s="213"/>
      <c r="D122" s="11"/>
      <c r="E122" s="11"/>
      <c r="F122" s="11"/>
      <c r="G122" s="11"/>
      <c r="H122" s="11"/>
      <c r="I122" s="11"/>
      <c r="J122" s="11"/>
      <c r="K122" s="11"/>
      <c r="L122" s="11"/>
      <c r="M122" s="12"/>
      <c r="N122" s="185"/>
    </row>
    <row r="123" spans="1:14" ht="15" customHeight="1" x14ac:dyDescent="0.3">
      <c r="A123" s="13"/>
      <c r="B123" s="18"/>
      <c r="C123" s="12"/>
      <c r="D123" s="11"/>
      <c r="E123" s="16">
        <v>145.28</v>
      </c>
      <c r="F123" s="11"/>
      <c r="G123" s="11"/>
      <c r="H123" s="11"/>
      <c r="I123" s="11"/>
      <c r="J123" s="11"/>
      <c r="K123" s="11"/>
      <c r="L123" s="11"/>
      <c r="M123" s="12"/>
      <c r="N123" s="185"/>
    </row>
    <row r="124" spans="1:14" ht="15" customHeight="1" x14ac:dyDescent="0.3">
      <c r="A124" s="13"/>
      <c r="B124" s="18"/>
      <c r="C124" s="12"/>
      <c r="D124" s="11"/>
      <c r="E124" s="16"/>
      <c r="F124" s="11"/>
      <c r="G124" s="11"/>
      <c r="H124" s="11"/>
      <c r="I124" s="11"/>
      <c r="J124" s="11"/>
      <c r="K124" s="11"/>
      <c r="L124" s="11"/>
      <c r="M124" s="12"/>
      <c r="N124" s="185"/>
    </row>
    <row r="125" spans="1:14" ht="15" customHeight="1" x14ac:dyDescent="0.3">
      <c r="A125" s="13"/>
      <c r="B125" s="18"/>
      <c r="C125" s="12"/>
      <c r="D125" s="11"/>
      <c r="E125" s="11"/>
      <c r="F125" s="11"/>
      <c r="G125" s="11"/>
      <c r="H125" s="11"/>
      <c r="I125" s="11"/>
      <c r="J125" s="11"/>
      <c r="K125" s="11"/>
      <c r="L125" s="11"/>
      <c r="M125" s="12"/>
      <c r="N125" s="212">
        <f>E123</f>
        <v>145.28</v>
      </c>
    </row>
    <row r="126" spans="1:14" ht="15" customHeight="1" x14ac:dyDescent="0.3">
      <c r="A126" s="13"/>
      <c r="B126" s="18"/>
      <c r="C126" s="12"/>
      <c r="D126" s="11"/>
      <c r="E126" s="11"/>
      <c r="F126" s="11"/>
      <c r="G126" s="11"/>
      <c r="H126" s="11"/>
      <c r="I126" s="11"/>
      <c r="J126" s="11"/>
      <c r="K126" s="11"/>
      <c r="L126" s="11"/>
      <c r="M126" s="12"/>
      <c r="N126" s="185"/>
    </row>
    <row r="127" spans="1:14" ht="28.5" x14ac:dyDescent="0.3">
      <c r="A127" s="187" t="s">
        <v>245</v>
      </c>
      <c r="B127" s="188" t="s">
        <v>14</v>
      </c>
      <c r="C127" s="213"/>
      <c r="D127" s="11"/>
      <c r="E127" s="11"/>
      <c r="F127" s="11"/>
      <c r="G127" s="11"/>
      <c r="H127" s="11"/>
      <c r="I127" s="11"/>
      <c r="J127" s="11"/>
      <c r="K127" s="11"/>
      <c r="L127" s="11"/>
      <c r="M127" s="12"/>
      <c r="N127" s="185"/>
    </row>
    <row r="128" spans="1:14" ht="15" customHeight="1" x14ac:dyDescent="0.3">
      <c r="A128" s="13"/>
      <c r="B128" s="14" t="s">
        <v>216</v>
      </c>
      <c r="C128" s="12"/>
      <c r="D128" s="11"/>
      <c r="E128" s="11"/>
      <c r="F128" s="16">
        <v>17.899999999999999</v>
      </c>
      <c r="G128" s="16">
        <v>3.1</v>
      </c>
      <c r="H128" s="11"/>
      <c r="I128" s="11"/>
      <c r="J128" s="11"/>
      <c r="K128" s="11"/>
      <c r="L128" s="11"/>
      <c r="M128" s="12"/>
      <c r="N128" s="185">
        <f>PRODUCT(F128,G128)</f>
        <v>55.489999999999995</v>
      </c>
    </row>
    <row r="129" spans="1:14" ht="15" customHeight="1" x14ac:dyDescent="0.3">
      <c r="A129" s="13"/>
      <c r="B129" s="14" t="s">
        <v>217</v>
      </c>
      <c r="C129" s="12"/>
      <c r="D129" s="11"/>
      <c r="E129" s="11"/>
      <c r="F129" s="16">
        <v>17.899999999999999</v>
      </c>
      <c r="G129" s="16">
        <v>3.1</v>
      </c>
      <c r="H129" s="11"/>
      <c r="I129" s="11"/>
      <c r="J129" s="11"/>
      <c r="K129" s="11"/>
      <c r="L129" s="11"/>
      <c r="M129" s="12"/>
      <c r="N129" s="185">
        <f t="shared" ref="N129:N131" si="2">PRODUCT(F129,G129)</f>
        <v>55.489999999999995</v>
      </c>
    </row>
    <row r="130" spans="1:14" ht="15" customHeight="1" x14ac:dyDescent="0.3">
      <c r="A130" s="13"/>
      <c r="B130" s="14" t="s">
        <v>219</v>
      </c>
      <c r="C130" s="12"/>
      <c r="D130" s="11"/>
      <c r="E130" s="11"/>
      <c r="F130" s="16">
        <v>12.22</v>
      </c>
      <c r="G130" s="16">
        <v>3.1</v>
      </c>
      <c r="H130" s="11"/>
      <c r="I130" s="11"/>
      <c r="J130" s="11"/>
      <c r="K130" s="11"/>
      <c r="L130" s="11"/>
      <c r="M130" s="12"/>
      <c r="N130" s="185">
        <f t="shared" si="2"/>
        <v>37.882000000000005</v>
      </c>
    </row>
    <row r="131" spans="1:14" ht="15" customHeight="1" x14ac:dyDescent="0.3">
      <c r="A131" s="13"/>
      <c r="B131" s="14" t="s">
        <v>218</v>
      </c>
      <c r="C131" s="12"/>
      <c r="D131" s="11"/>
      <c r="E131" s="11"/>
      <c r="F131" s="16">
        <v>12.22</v>
      </c>
      <c r="G131" s="16">
        <v>3.1</v>
      </c>
      <c r="H131" s="11"/>
      <c r="I131" s="11"/>
      <c r="J131" s="11"/>
      <c r="K131" s="11"/>
      <c r="L131" s="11"/>
      <c r="M131" s="12"/>
      <c r="N131" s="185">
        <f t="shared" si="2"/>
        <v>37.882000000000005</v>
      </c>
    </row>
    <row r="132" spans="1:14" ht="15" customHeight="1" x14ac:dyDescent="0.3">
      <c r="A132" s="13"/>
      <c r="B132" s="18"/>
      <c r="C132" s="12"/>
      <c r="D132" s="11"/>
      <c r="E132" s="11"/>
      <c r="F132" s="11"/>
      <c r="G132" s="11"/>
      <c r="H132" s="11"/>
      <c r="I132" s="11"/>
      <c r="J132" s="11"/>
      <c r="K132" s="11"/>
      <c r="L132" s="11"/>
      <c r="M132" s="12"/>
      <c r="N132" s="212">
        <f>SUM(N128:N131)</f>
        <v>186.744</v>
      </c>
    </row>
    <row r="133" spans="1:14" ht="15" customHeight="1" x14ac:dyDescent="0.3">
      <c r="A133" s="187" t="s">
        <v>246</v>
      </c>
      <c r="B133" s="188" t="s">
        <v>241</v>
      </c>
      <c r="C133" s="213"/>
      <c r="D133" s="11"/>
      <c r="E133" s="11"/>
      <c r="F133" s="11"/>
      <c r="G133" s="11"/>
      <c r="H133" s="11"/>
      <c r="I133" s="11"/>
      <c r="J133" s="11"/>
      <c r="K133" s="11"/>
      <c r="L133" s="11"/>
      <c r="M133" s="12"/>
      <c r="N133" s="185"/>
    </row>
    <row r="134" spans="1:14" ht="15" customHeight="1" x14ac:dyDescent="0.3">
      <c r="A134" s="13"/>
      <c r="B134" s="14" t="s">
        <v>216</v>
      </c>
      <c r="C134" s="12"/>
      <c r="D134" s="11"/>
      <c r="E134" s="11"/>
      <c r="F134" s="16">
        <v>17.899999999999999</v>
      </c>
      <c r="G134" s="16">
        <v>3.1</v>
      </c>
      <c r="H134" s="11"/>
      <c r="I134" s="11"/>
      <c r="J134" s="11"/>
      <c r="K134" s="11"/>
      <c r="L134" s="11"/>
      <c r="M134" s="12"/>
      <c r="N134" s="185">
        <f>PRODUCT(F134,G134)</f>
        <v>55.489999999999995</v>
      </c>
    </row>
    <row r="135" spans="1:14" ht="15" customHeight="1" x14ac:dyDescent="0.3">
      <c r="A135" s="13"/>
      <c r="B135" s="14" t="s">
        <v>217</v>
      </c>
      <c r="C135" s="12"/>
      <c r="D135" s="11"/>
      <c r="E135" s="11"/>
      <c r="F135" s="16">
        <v>17.899999999999999</v>
      </c>
      <c r="G135" s="16">
        <v>3.1</v>
      </c>
      <c r="H135" s="11"/>
      <c r="I135" s="11"/>
      <c r="J135" s="11"/>
      <c r="K135" s="11"/>
      <c r="L135" s="11"/>
      <c r="M135" s="12"/>
      <c r="N135" s="185">
        <f t="shared" ref="N135:N137" si="3">PRODUCT(F135,G135)</f>
        <v>55.489999999999995</v>
      </c>
    </row>
    <row r="136" spans="1:14" ht="15" customHeight="1" x14ac:dyDescent="0.3">
      <c r="A136" s="13"/>
      <c r="B136" s="14" t="s">
        <v>219</v>
      </c>
      <c r="C136" s="12"/>
      <c r="D136" s="11"/>
      <c r="E136" s="11"/>
      <c r="F136" s="16">
        <v>12.22</v>
      </c>
      <c r="G136" s="16">
        <v>3.1</v>
      </c>
      <c r="H136" s="11"/>
      <c r="I136" s="11"/>
      <c r="J136" s="11"/>
      <c r="K136" s="11"/>
      <c r="L136" s="11"/>
      <c r="M136" s="12"/>
      <c r="N136" s="185">
        <f t="shared" si="3"/>
        <v>37.882000000000005</v>
      </c>
    </row>
    <row r="137" spans="1:14" ht="15" customHeight="1" x14ac:dyDescent="0.3">
      <c r="A137" s="13"/>
      <c r="B137" s="14" t="s">
        <v>218</v>
      </c>
      <c r="C137" s="12"/>
      <c r="D137" s="11"/>
      <c r="E137" s="11"/>
      <c r="F137" s="16">
        <v>12.22</v>
      </c>
      <c r="G137" s="16">
        <v>3.1</v>
      </c>
      <c r="H137" s="11"/>
      <c r="I137" s="11"/>
      <c r="J137" s="11"/>
      <c r="K137" s="11"/>
      <c r="L137" s="11"/>
      <c r="M137" s="12"/>
      <c r="N137" s="185">
        <f t="shared" si="3"/>
        <v>37.882000000000005</v>
      </c>
    </row>
    <row r="138" spans="1:14" ht="15" customHeight="1" x14ac:dyDescent="0.3">
      <c r="A138" s="13"/>
      <c r="B138" s="18"/>
      <c r="C138" s="12"/>
      <c r="D138" s="11"/>
      <c r="E138" s="11"/>
      <c r="F138" s="11"/>
      <c r="G138" s="11"/>
      <c r="H138" s="11"/>
      <c r="I138" s="11"/>
      <c r="J138" s="11"/>
      <c r="K138" s="11"/>
      <c r="L138" s="11"/>
      <c r="M138" s="12"/>
      <c r="N138" s="212">
        <f>SUM(N134:N137)</f>
        <v>186.744</v>
      </c>
    </row>
    <row r="139" spans="1:14" s="236" customFormat="1" ht="15" customHeight="1" x14ac:dyDescent="0.3">
      <c r="A139" s="187" t="s">
        <v>247</v>
      </c>
      <c r="B139" s="188" t="s">
        <v>446</v>
      </c>
      <c r="C139" s="213"/>
      <c r="D139" s="11"/>
      <c r="E139" s="11"/>
      <c r="F139" s="11"/>
      <c r="G139" s="11"/>
      <c r="H139" s="11"/>
      <c r="I139" s="11"/>
      <c r="J139" s="11"/>
      <c r="K139" s="11"/>
      <c r="L139" s="11"/>
      <c r="M139" s="12"/>
      <c r="N139" s="185"/>
    </row>
    <row r="140" spans="1:14" s="236" customFormat="1" ht="15" customHeight="1" x14ac:dyDescent="0.3">
      <c r="A140" s="13"/>
      <c r="B140" s="14" t="s">
        <v>216</v>
      </c>
      <c r="C140" s="12"/>
      <c r="D140" s="11"/>
      <c r="E140" s="11"/>
      <c r="F140" s="16">
        <v>17.899999999999999</v>
      </c>
      <c r="G140" s="16">
        <v>3.1</v>
      </c>
      <c r="H140" s="11"/>
      <c r="I140" s="11"/>
      <c r="J140" s="11"/>
      <c r="K140" s="11"/>
      <c r="L140" s="11"/>
      <c r="M140" s="12"/>
      <c r="N140" s="185">
        <f>PRODUCT(F140,G140)</f>
        <v>55.489999999999995</v>
      </c>
    </row>
    <row r="141" spans="1:14" s="236" customFormat="1" ht="15" customHeight="1" x14ac:dyDescent="0.3">
      <c r="A141" s="13"/>
      <c r="B141" s="14" t="s">
        <v>217</v>
      </c>
      <c r="C141" s="12"/>
      <c r="D141" s="11"/>
      <c r="E141" s="11"/>
      <c r="F141" s="16">
        <v>17.899999999999999</v>
      </c>
      <c r="G141" s="16">
        <v>3.1</v>
      </c>
      <c r="H141" s="11"/>
      <c r="I141" s="11"/>
      <c r="J141" s="11"/>
      <c r="K141" s="11"/>
      <c r="L141" s="11"/>
      <c r="M141" s="12"/>
      <c r="N141" s="185">
        <f t="shared" ref="N141:N143" si="4">PRODUCT(F141,G141)</f>
        <v>55.489999999999995</v>
      </c>
    </row>
    <row r="142" spans="1:14" s="236" customFormat="1" ht="15" customHeight="1" x14ac:dyDescent="0.3">
      <c r="A142" s="13"/>
      <c r="B142" s="14" t="s">
        <v>219</v>
      </c>
      <c r="C142" s="12"/>
      <c r="D142" s="11"/>
      <c r="E142" s="11"/>
      <c r="F142" s="16">
        <v>12.22</v>
      </c>
      <c r="G142" s="16">
        <v>3.1</v>
      </c>
      <c r="H142" s="11"/>
      <c r="I142" s="11"/>
      <c r="J142" s="11"/>
      <c r="K142" s="11"/>
      <c r="L142" s="11"/>
      <c r="M142" s="12"/>
      <c r="N142" s="185">
        <f t="shared" si="4"/>
        <v>37.882000000000005</v>
      </c>
    </row>
    <row r="143" spans="1:14" s="236" customFormat="1" ht="15" customHeight="1" x14ac:dyDescent="0.3">
      <c r="A143" s="13"/>
      <c r="B143" s="14" t="s">
        <v>218</v>
      </c>
      <c r="C143" s="12"/>
      <c r="D143" s="11"/>
      <c r="E143" s="11"/>
      <c r="F143" s="16">
        <v>12.22</v>
      </c>
      <c r="G143" s="16">
        <v>3.1</v>
      </c>
      <c r="H143" s="11"/>
      <c r="I143" s="11"/>
      <c r="J143" s="11"/>
      <c r="K143" s="11"/>
      <c r="L143" s="11"/>
      <c r="M143" s="12"/>
      <c r="N143" s="185">
        <f t="shared" si="4"/>
        <v>37.882000000000005</v>
      </c>
    </row>
    <row r="144" spans="1:14" s="236" customFormat="1" ht="15" customHeight="1" x14ac:dyDescent="0.3">
      <c r="A144" s="13"/>
      <c r="B144" s="18"/>
      <c r="C144" s="12"/>
      <c r="D144" s="11"/>
      <c r="E144" s="11"/>
      <c r="F144" s="11"/>
      <c r="G144" s="11"/>
      <c r="H144" s="11"/>
      <c r="I144" s="11"/>
      <c r="J144" s="11"/>
      <c r="K144" s="11"/>
      <c r="L144" s="11"/>
      <c r="M144" s="12"/>
      <c r="N144" s="212">
        <f>SUM(N140:N143)</f>
        <v>186.744</v>
      </c>
    </row>
    <row r="145" spans="1:14" ht="15" customHeight="1" x14ac:dyDescent="0.3">
      <c r="A145" s="187" t="s">
        <v>266</v>
      </c>
      <c r="B145" s="188" t="s">
        <v>242</v>
      </c>
      <c r="C145" s="213"/>
      <c r="D145" s="11"/>
      <c r="E145" s="11"/>
      <c r="F145" s="11"/>
      <c r="G145" s="11"/>
      <c r="H145" s="11"/>
      <c r="I145" s="11"/>
      <c r="J145" s="11"/>
      <c r="K145" s="11"/>
      <c r="L145" s="11"/>
      <c r="M145" s="12"/>
      <c r="N145" s="185"/>
    </row>
    <row r="146" spans="1:14" ht="15" customHeight="1" x14ac:dyDescent="0.3">
      <c r="A146" s="13"/>
      <c r="B146" s="14" t="s">
        <v>220</v>
      </c>
      <c r="C146" s="12"/>
      <c r="D146" s="11"/>
      <c r="E146" s="11"/>
      <c r="F146" s="16">
        <f>5.2+5.86+5.86+5.86+3.3+3.3+68.95</f>
        <v>98.330000000000013</v>
      </c>
      <c r="G146" s="11"/>
      <c r="H146" s="11"/>
      <c r="I146" s="11"/>
      <c r="J146" s="11"/>
      <c r="K146" s="11"/>
      <c r="L146" s="11"/>
      <c r="M146" s="12"/>
      <c r="N146" s="185"/>
    </row>
    <row r="147" spans="1:14" ht="15" customHeight="1" x14ac:dyDescent="0.3">
      <c r="A147" s="13"/>
      <c r="B147" s="18"/>
      <c r="C147" s="12"/>
      <c r="D147" s="11"/>
      <c r="E147" s="11"/>
      <c r="F147" s="11"/>
      <c r="G147" s="11"/>
      <c r="H147" s="11"/>
      <c r="I147" s="11"/>
      <c r="J147" s="11"/>
      <c r="K147" s="11"/>
      <c r="L147" s="11"/>
      <c r="M147" s="12"/>
      <c r="N147" s="212">
        <f>F146</f>
        <v>98.330000000000013</v>
      </c>
    </row>
    <row r="148" spans="1:14" ht="15" customHeight="1" x14ac:dyDescent="0.3">
      <c r="A148" s="13"/>
      <c r="B148" s="18"/>
      <c r="C148" s="12"/>
      <c r="D148" s="11"/>
      <c r="E148" s="11"/>
      <c r="F148" s="11"/>
      <c r="G148" s="11"/>
      <c r="H148" s="11"/>
      <c r="I148" s="11"/>
      <c r="J148" s="11"/>
      <c r="K148" s="11"/>
      <c r="L148" s="11"/>
      <c r="M148" s="12"/>
      <c r="N148" s="185"/>
    </row>
    <row r="149" spans="1:14" ht="15" customHeight="1" x14ac:dyDescent="0.3">
      <c r="A149" s="187" t="s">
        <v>267</v>
      </c>
      <c r="B149" s="188" t="s">
        <v>243</v>
      </c>
      <c r="C149" s="213"/>
      <c r="D149" s="11"/>
      <c r="E149" s="11"/>
      <c r="F149" s="11"/>
      <c r="G149" s="11"/>
      <c r="H149" s="11"/>
      <c r="I149" s="11"/>
      <c r="J149" s="11"/>
      <c r="K149" s="11"/>
      <c r="L149" s="11"/>
      <c r="M149" s="12"/>
      <c r="N149" s="185"/>
    </row>
    <row r="150" spans="1:14" ht="15" customHeight="1" x14ac:dyDescent="0.3">
      <c r="A150" s="13"/>
      <c r="B150" s="14" t="s">
        <v>221</v>
      </c>
      <c r="C150" s="12"/>
      <c r="D150" s="11"/>
      <c r="E150" s="11"/>
      <c r="F150" s="16">
        <f>8.37+8.37+9.74+9.74</f>
        <v>36.22</v>
      </c>
      <c r="G150" s="11"/>
      <c r="H150" s="11"/>
      <c r="I150" s="11"/>
      <c r="J150" s="11"/>
      <c r="K150" s="11"/>
      <c r="L150" s="11"/>
      <c r="M150" s="12"/>
      <c r="N150" s="185"/>
    </row>
    <row r="151" spans="1:14" ht="15" customHeight="1" x14ac:dyDescent="0.3">
      <c r="A151" s="13"/>
      <c r="B151" s="18"/>
      <c r="C151" s="12"/>
      <c r="D151" s="11"/>
      <c r="E151" s="11"/>
      <c r="F151" s="11"/>
      <c r="G151" s="11"/>
      <c r="H151" s="11"/>
      <c r="I151" s="11"/>
      <c r="J151" s="11"/>
      <c r="K151" s="11"/>
      <c r="L151" s="11"/>
      <c r="M151" s="12"/>
      <c r="N151" s="212">
        <f>F150</f>
        <v>36.22</v>
      </c>
    </row>
    <row r="152" spans="1:14" ht="15" customHeight="1" x14ac:dyDescent="0.3">
      <c r="A152" s="13"/>
      <c r="B152" s="18"/>
      <c r="C152" s="12"/>
      <c r="D152" s="11"/>
      <c r="E152" s="11"/>
      <c r="F152" s="11"/>
      <c r="G152" s="11"/>
      <c r="H152" s="11"/>
      <c r="I152" s="11"/>
      <c r="J152" s="11"/>
      <c r="K152" s="11"/>
      <c r="L152" s="11"/>
      <c r="M152" s="12"/>
      <c r="N152" s="185"/>
    </row>
    <row r="153" spans="1:14" ht="15" customHeight="1" x14ac:dyDescent="0.3">
      <c r="A153" s="187" t="s">
        <v>273</v>
      </c>
      <c r="B153" s="188" t="s">
        <v>244</v>
      </c>
      <c r="C153" s="213"/>
      <c r="D153" s="11"/>
      <c r="E153" s="11"/>
      <c r="F153" s="11"/>
      <c r="G153" s="11"/>
      <c r="H153" s="11"/>
      <c r="I153" s="11"/>
      <c r="J153" s="11"/>
      <c r="K153" s="11"/>
      <c r="L153" s="11"/>
      <c r="M153" s="12"/>
      <c r="N153" s="185"/>
    </row>
    <row r="154" spans="1:14" ht="15" customHeight="1" x14ac:dyDescent="0.3">
      <c r="A154" s="13"/>
      <c r="B154" s="18"/>
      <c r="C154" s="12"/>
      <c r="D154" s="16">
        <v>4</v>
      </c>
      <c r="E154" s="16"/>
      <c r="F154" s="16">
        <v>4.3</v>
      </c>
      <c r="G154" s="16"/>
      <c r="H154" s="16"/>
      <c r="I154" s="11"/>
      <c r="J154" s="11"/>
      <c r="K154" s="11"/>
      <c r="L154" s="11"/>
      <c r="M154" s="12"/>
      <c r="N154" s="185">
        <f>PRODUCT(D154,F154)</f>
        <v>17.2</v>
      </c>
    </row>
    <row r="155" spans="1:14" ht="15" customHeight="1" x14ac:dyDescent="0.3">
      <c r="A155" s="13"/>
      <c r="B155" s="18"/>
      <c r="C155" s="12"/>
      <c r="D155" s="16"/>
      <c r="E155" s="16"/>
      <c r="F155" s="16"/>
      <c r="G155" s="16"/>
      <c r="H155" s="16"/>
      <c r="I155" s="11"/>
      <c r="J155" s="11"/>
      <c r="K155" s="11"/>
      <c r="L155" s="11"/>
      <c r="M155" s="12"/>
      <c r="N155" s="212">
        <f>N154</f>
        <v>17.2</v>
      </c>
    </row>
    <row r="156" spans="1:14" ht="15" customHeight="1" x14ac:dyDescent="0.3">
      <c r="A156" s="13"/>
      <c r="B156" s="18"/>
      <c r="C156" s="12"/>
      <c r="D156" s="11"/>
      <c r="E156" s="11"/>
      <c r="F156" s="11"/>
      <c r="G156" s="11"/>
      <c r="H156" s="11"/>
      <c r="I156" s="11"/>
      <c r="J156" s="11"/>
      <c r="K156" s="11"/>
      <c r="L156" s="11"/>
      <c r="M156" s="12"/>
      <c r="N156" s="185"/>
    </row>
    <row r="157" spans="1:14" ht="15" customHeight="1" x14ac:dyDescent="0.25">
      <c r="A157" s="6" t="s">
        <v>61</v>
      </c>
      <c r="B157" s="7" t="s">
        <v>78</v>
      </c>
      <c r="C157" s="8"/>
      <c r="D157" s="9"/>
      <c r="E157" s="9"/>
      <c r="F157" s="9"/>
      <c r="G157" s="9"/>
      <c r="H157" s="9"/>
      <c r="I157" s="9"/>
      <c r="J157" s="9"/>
      <c r="K157" s="9"/>
      <c r="L157" s="9"/>
      <c r="M157" s="8"/>
      <c r="N157" s="10"/>
    </row>
    <row r="158" spans="1:14" ht="15" customHeight="1" x14ac:dyDescent="0.3">
      <c r="A158" s="187" t="s">
        <v>62</v>
      </c>
      <c r="B158" s="188" t="s">
        <v>25</v>
      </c>
      <c r="C158" s="213"/>
      <c r="D158" s="11"/>
      <c r="E158" s="11"/>
      <c r="F158" s="11"/>
      <c r="G158" s="11"/>
      <c r="H158" s="11"/>
      <c r="I158" s="11"/>
      <c r="J158" s="11"/>
      <c r="K158" s="11"/>
      <c r="L158" s="11"/>
      <c r="M158" s="12"/>
      <c r="N158" s="185"/>
    </row>
    <row r="159" spans="1:14" ht="15" customHeight="1" x14ac:dyDescent="0.3">
      <c r="A159" s="13"/>
      <c r="B159" s="14" t="s">
        <v>222</v>
      </c>
      <c r="C159" s="12"/>
      <c r="D159" s="11"/>
      <c r="E159" s="16">
        <v>19.55</v>
      </c>
      <c r="F159" s="16"/>
      <c r="G159" s="16"/>
      <c r="H159" s="11"/>
      <c r="I159" s="11"/>
      <c r="J159" s="11"/>
      <c r="K159" s="11"/>
      <c r="L159" s="11"/>
      <c r="M159" s="12"/>
      <c r="N159" s="185"/>
    </row>
    <row r="160" spans="1:14" ht="15" customHeight="1" x14ac:dyDescent="0.3">
      <c r="A160" s="13"/>
      <c r="B160" s="14" t="s">
        <v>223</v>
      </c>
      <c r="C160" s="12"/>
      <c r="D160" s="11"/>
      <c r="E160" s="16">
        <v>37.03</v>
      </c>
      <c r="G160" s="11"/>
      <c r="H160" s="11"/>
      <c r="I160" s="11"/>
      <c r="J160" s="11"/>
      <c r="K160" s="11"/>
      <c r="L160" s="11"/>
      <c r="M160" s="12"/>
      <c r="N160" s="185"/>
    </row>
    <row r="161" spans="1:14" ht="15" customHeight="1" x14ac:dyDescent="0.3">
      <c r="A161" s="13"/>
      <c r="B161" s="14" t="s">
        <v>224</v>
      </c>
      <c r="C161" s="12"/>
      <c r="D161" s="11"/>
      <c r="E161" s="16">
        <v>11.14</v>
      </c>
      <c r="G161" s="11"/>
      <c r="H161" s="11"/>
      <c r="I161" s="11"/>
      <c r="J161" s="11"/>
      <c r="K161" s="11"/>
      <c r="L161" s="11"/>
      <c r="M161" s="12"/>
      <c r="N161" s="185"/>
    </row>
    <row r="162" spans="1:14" ht="15" customHeight="1" x14ac:dyDescent="0.3">
      <c r="A162" s="13"/>
      <c r="B162" s="14" t="s">
        <v>225</v>
      </c>
      <c r="C162" s="12"/>
      <c r="D162" s="11"/>
      <c r="E162" s="16">
        <v>10.1</v>
      </c>
      <c r="G162" s="11"/>
      <c r="H162" s="11"/>
      <c r="I162" s="11"/>
      <c r="J162" s="11"/>
      <c r="K162" s="11"/>
      <c r="L162" s="11"/>
      <c r="M162" s="12"/>
      <c r="N162" s="185"/>
    </row>
    <row r="163" spans="1:14" ht="15" customHeight="1" x14ac:dyDescent="0.3">
      <c r="A163" s="13"/>
      <c r="B163" s="14" t="s">
        <v>304</v>
      </c>
      <c r="C163" s="12"/>
      <c r="D163" s="11"/>
      <c r="E163" s="16">
        <v>2.11</v>
      </c>
      <c r="G163" s="11"/>
      <c r="H163" s="11"/>
      <c r="I163" s="11"/>
      <c r="J163" s="11"/>
      <c r="K163" s="11"/>
      <c r="L163" s="11"/>
      <c r="M163" s="12"/>
      <c r="N163" s="185"/>
    </row>
    <row r="164" spans="1:14" ht="15" customHeight="1" x14ac:dyDescent="0.3">
      <c r="A164" s="13"/>
      <c r="B164" s="14" t="s">
        <v>305</v>
      </c>
      <c r="C164" s="12"/>
      <c r="D164" s="11"/>
      <c r="E164" s="16">
        <v>3.22</v>
      </c>
      <c r="G164" s="11"/>
      <c r="H164" s="11"/>
      <c r="I164" s="11"/>
      <c r="J164" s="11"/>
      <c r="K164" s="11"/>
      <c r="L164" s="11"/>
      <c r="M164" s="12"/>
      <c r="N164" s="185"/>
    </row>
    <row r="165" spans="1:14" ht="15" customHeight="1" x14ac:dyDescent="0.3">
      <c r="A165" s="13"/>
      <c r="B165" s="14"/>
      <c r="C165" s="12"/>
      <c r="D165" s="11"/>
      <c r="E165" s="11"/>
      <c r="G165" s="11"/>
      <c r="H165" s="11"/>
      <c r="I165" s="11"/>
      <c r="J165" s="11"/>
      <c r="K165" s="11"/>
      <c r="L165" s="11"/>
      <c r="M165" s="12"/>
      <c r="N165" s="185"/>
    </row>
    <row r="166" spans="1:14" ht="15" customHeight="1" x14ac:dyDescent="0.3">
      <c r="A166" s="13"/>
      <c r="B166" s="18"/>
      <c r="C166" s="12"/>
      <c r="D166" s="11"/>
      <c r="E166" s="11"/>
      <c r="F166" s="11"/>
      <c r="G166" s="11"/>
      <c r="H166" s="11"/>
      <c r="I166" s="11"/>
      <c r="J166" s="11"/>
      <c r="K166" s="11"/>
      <c r="L166" s="11"/>
      <c r="M166" s="12"/>
      <c r="N166" s="212">
        <f>SUM(E159:E164)</f>
        <v>83.149999999999991</v>
      </c>
    </row>
    <row r="167" spans="1:14" ht="28.5" x14ac:dyDescent="0.3">
      <c r="A167" s="226" t="s">
        <v>63</v>
      </c>
      <c r="B167" s="188" t="s">
        <v>30</v>
      </c>
      <c r="C167" s="213"/>
      <c r="D167" s="11"/>
      <c r="E167" s="11"/>
      <c r="F167" s="11"/>
      <c r="G167" s="11"/>
      <c r="H167" s="11"/>
      <c r="I167" s="11"/>
      <c r="J167" s="11"/>
      <c r="K167" s="11"/>
      <c r="L167" s="11"/>
      <c r="M167" s="12"/>
      <c r="N167" s="185"/>
    </row>
    <row r="168" spans="1:14" ht="15" customHeight="1" x14ac:dyDescent="0.3">
      <c r="A168" s="13"/>
      <c r="B168" s="14" t="s">
        <v>223</v>
      </c>
      <c r="C168" s="12"/>
      <c r="D168" s="11"/>
      <c r="E168" s="16">
        <v>37.03</v>
      </c>
      <c r="G168" s="11"/>
      <c r="H168" s="11"/>
      <c r="I168" s="11"/>
      <c r="J168" s="11"/>
      <c r="K168" s="11"/>
      <c r="L168" s="11"/>
      <c r="M168" s="12"/>
      <c r="N168" s="185"/>
    </row>
    <row r="169" spans="1:14" ht="15" customHeight="1" x14ac:dyDescent="0.3">
      <c r="A169" s="13"/>
      <c r="B169" s="14" t="s">
        <v>224</v>
      </c>
      <c r="C169" s="12"/>
      <c r="D169" s="11"/>
      <c r="E169" s="16">
        <v>11.14</v>
      </c>
      <c r="G169" s="11"/>
      <c r="H169" s="11"/>
      <c r="I169" s="11"/>
      <c r="J169" s="11"/>
      <c r="K169" s="11"/>
      <c r="L169" s="11"/>
      <c r="M169" s="12"/>
      <c r="N169" s="185"/>
    </row>
    <row r="170" spans="1:14" ht="15" customHeight="1" x14ac:dyDescent="0.3">
      <c r="A170" s="13"/>
      <c r="B170" s="14" t="s">
        <v>225</v>
      </c>
      <c r="C170" s="12"/>
      <c r="D170" s="11"/>
      <c r="E170" s="16">
        <v>10.1</v>
      </c>
      <c r="G170" s="11"/>
      <c r="H170" s="11"/>
      <c r="I170" s="11"/>
      <c r="J170" s="11"/>
      <c r="K170" s="11"/>
      <c r="L170" s="11"/>
      <c r="M170" s="12"/>
      <c r="N170" s="185"/>
    </row>
    <row r="171" spans="1:14" ht="15" customHeight="1" x14ac:dyDescent="0.3">
      <c r="A171" s="13"/>
      <c r="B171" s="14" t="s">
        <v>304</v>
      </c>
      <c r="C171" s="12"/>
      <c r="D171" s="11"/>
      <c r="E171" s="16">
        <v>2.11</v>
      </c>
      <c r="G171" s="11"/>
      <c r="H171" s="11"/>
      <c r="I171" s="11"/>
      <c r="J171" s="11"/>
      <c r="K171" s="11"/>
      <c r="L171" s="11"/>
      <c r="M171" s="12"/>
      <c r="N171" s="185"/>
    </row>
    <row r="172" spans="1:14" ht="15" customHeight="1" x14ac:dyDescent="0.3">
      <c r="A172" s="13"/>
      <c r="B172" s="14" t="s">
        <v>305</v>
      </c>
      <c r="C172" s="12"/>
      <c r="D172" s="11"/>
      <c r="E172" s="16">
        <v>3.22</v>
      </c>
      <c r="G172" s="11"/>
      <c r="H172" s="11"/>
      <c r="I172" s="11"/>
      <c r="J172" s="11"/>
      <c r="K172" s="11"/>
      <c r="L172" s="11"/>
      <c r="M172" s="12"/>
      <c r="N172" s="185"/>
    </row>
    <row r="173" spans="1:14" ht="15" customHeight="1" x14ac:dyDescent="0.3">
      <c r="A173" s="13"/>
      <c r="B173" s="14"/>
      <c r="C173" s="12"/>
      <c r="D173" s="11"/>
      <c r="E173" s="11"/>
      <c r="G173" s="11"/>
      <c r="H173" s="11"/>
      <c r="I173" s="11"/>
      <c r="J173" s="11"/>
      <c r="K173" s="11"/>
      <c r="L173" s="11"/>
      <c r="M173" s="12"/>
      <c r="N173" s="214">
        <f>SUM(E168:E172)</f>
        <v>63.6</v>
      </c>
    </row>
    <row r="174" spans="1:14" ht="15" customHeight="1" x14ac:dyDescent="0.3">
      <c r="A174" s="187" t="s">
        <v>64</v>
      </c>
      <c r="B174" s="188" t="s">
        <v>268</v>
      </c>
      <c r="C174" s="213"/>
      <c r="D174" s="11"/>
      <c r="E174" s="11"/>
      <c r="F174" s="11"/>
      <c r="G174" s="11"/>
      <c r="H174" s="11"/>
      <c r="I174" s="11"/>
      <c r="J174" s="11"/>
      <c r="K174" s="11"/>
      <c r="L174" s="11"/>
      <c r="M174" s="12"/>
      <c r="N174" s="185"/>
    </row>
    <row r="175" spans="1:14" ht="15" customHeight="1" x14ac:dyDescent="0.3">
      <c r="A175" s="13"/>
      <c r="B175" s="14" t="s">
        <v>222</v>
      </c>
      <c r="C175" s="12"/>
      <c r="D175" s="11"/>
      <c r="E175" s="16">
        <v>19.55</v>
      </c>
      <c r="G175" s="11"/>
      <c r="H175" s="11"/>
      <c r="I175" s="11"/>
      <c r="J175" s="11"/>
      <c r="K175" s="11"/>
      <c r="L175" s="11"/>
      <c r="M175" s="12"/>
      <c r="N175" s="185"/>
    </row>
    <row r="176" spans="1:14" ht="15" customHeight="1" x14ac:dyDescent="0.3">
      <c r="A176" s="13"/>
      <c r="B176" s="14"/>
      <c r="C176" s="12"/>
      <c r="D176" s="11"/>
      <c r="E176" s="11"/>
      <c r="G176" s="11"/>
      <c r="H176" s="11"/>
      <c r="I176" s="11"/>
      <c r="J176" s="11"/>
      <c r="K176" s="11"/>
      <c r="L176" s="11"/>
      <c r="M176" s="12"/>
      <c r="N176" s="185"/>
    </row>
    <row r="177" spans="1:14" ht="15" customHeight="1" x14ac:dyDescent="0.3">
      <c r="A177" s="13"/>
      <c r="B177" s="18"/>
      <c r="C177" s="12"/>
      <c r="D177" s="11"/>
      <c r="E177" s="11"/>
      <c r="F177" s="11"/>
      <c r="G177" s="11"/>
      <c r="H177" s="11"/>
      <c r="I177" s="11"/>
      <c r="J177" s="11"/>
      <c r="K177" s="11"/>
      <c r="L177" s="11"/>
      <c r="M177" s="12"/>
      <c r="N177" s="212">
        <f>SUM(E175:E175)</f>
        <v>19.55</v>
      </c>
    </row>
    <row r="178" spans="1:14" ht="15" customHeight="1" x14ac:dyDescent="0.3">
      <c r="A178" s="13"/>
      <c r="B178" s="18"/>
      <c r="C178" s="12"/>
      <c r="D178" s="11"/>
      <c r="E178" s="11"/>
      <c r="F178" s="11"/>
      <c r="G178" s="11"/>
      <c r="H178" s="11"/>
      <c r="I178" s="11"/>
      <c r="J178" s="11"/>
      <c r="K178" s="11"/>
      <c r="L178" s="11"/>
      <c r="M178" s="12"/>
      <c r="N178" s="185"/>
    </row>
    <row r="179" spans="1:14" ht="15" customHeight="1" x14ac:dyDescent="0.3">
      <c r="A179" s="187" t="s">
        <v>65</v>
      </c>
      <c r="B179" s="188" t="s">
        <v>26</v>
      </c>
      <c r="C179" s="213"/>
      <c r="D179" s="11"/>
      <c r="E179" s="11"/>
      <c r="F179" s="11"/>
      <c r="G179" s="11"/>
      <c r="H179" s="11"/>
      <c r="I179" s="11"/>
      <c r="J179" s="11"/>
      <c r="K179" s="11"/>
      <c r="L179" s="11"/>
      <c r="M179" s="12"/>
      <c r="N179" s="185"/>
    </row>
    <row r="180" spans="1:14" ht="15" customHeight="1" x14ac:dyDescent="0.3">
      <c r="A180" s="13"/>
      <c r="B180" s="14" t="s">
        <v>222</v>
      </c>
      <c r="C180" s="12"/>
      <c r="D180" s="11"/>
      <c r="E180" s="16">
        <v>19.55</v>
      </c>
      <c r="F180" s="16"/>
      <c r="G180" s="16"/>
      <c r="H180" s="11"/>
      <c r="I180" s="11"/>
      <c r="J180" s="11"/>
      <c r="K180" s="11"/>
      <c r="L180" s="11"/>
      <c r="M180" s="12"/>
      <c r="N180" s="185"/>
    </row>
    <row r="181" spans="1:14" ht="15" customHeight="1" x14ac:dyDescent="0.3">
      <c r="A181" s="13"/>
      <c r="B181" s="14" t="s">
        <v>223</v>
      </c>
      <c r="C181" s="12"/>
      <c r="D181" s="11"/>
      <c r="E181" s="16">
        <v>37.03</v>
      </c>
      <c r="G181" s="11"/>
      <c r="H181" s="11"/>
      <c r="I181" s="11"/>
      <c r="J181" s="11"/>
      <c r="K181" s="11"/>
      <c r="L181" s="11"/>
      <c r="M181" s="12"/>
      <c r="N181" s="185"/>
    </row>
    <row r="182" spans="1:14" ht="15" customHeight="1" x14ac:dyDescent="0.3">
      <c r="A182" s="13"/>
      <c r="B182" s="14" t="s">
        <v>224</v>
      </c>
      <c r="C182" s="12"/>
      <c r="D182" s="11"/>
      <c r="E182" s="16">
        <v>11.14</v>
      </c>
      <c r="G182" s="11"/>
      <c r="H182" s="11"/>
      <c r="I182" s="11"/>
      <c r="J182" s="11"/>
      <c r="K182" s="11"/>
      <c r="L182" s="11"/>
      <c r="M182" s="12"/>
      <c r="N182" s="185"/>
    </row>
    <row r="183" spans="1:14" ht="15" customHeight="1" x14ac:dyDescent="0.3">
      <c r="A183" s="13"/>
      <c r="B183" s="14" t="s">
        <v>225</v>
      </c>
      <c r="C183" s="12"/>
      <c r="D183" s="11"/>
      <c r="E183" s="16">
        <v>10.1</v>
      </c>
      <c r="G183" s="11"/>
      <c r="H183" s="11"/>
      <c r="I183" s="11"/>
      <c r="J183" s="11"/>
      <c r="K183" s="11"/>
      <c r="L183" s="11"/>
      <c r="M183" s="12"/>
      <c r="N183" s="185"/>
    </row>
    <row r="184" spans="1:14" ht="15" customHeight="1" x14ac:dyDescent="0.3">
      <c r="A184" s="13"/>
      <c r="B184" s="14" t="s">
        <v>304</v>
      </c>
      <c r="C184" s="12"/>
      <c r="D184" s="11"/>
      <c r="E184" s="16">
        <v>2.11</v>
      </c>
      <c r="G184" s="11"/>
      <c r="H184" s="11"/>
      <c r="I184" s="11"/>
      <c r="J184" s="11"/>
      <c r="K184" s="11"/>
      <c r="L184" s="11"/>
      <c r="M184" s="12"/>
      <c r="N184" s="185"/>
    </row>
    <row r="185" spans="1:14" ht="15" customHeight="1" x14ac:dyDescent="0.3">
      <c r="A185" s="13"/>
      <c r="B185" s="14" t="s">
        <v>305</v>
      </c>
      <c r="C185" s="12"/>
      <c r="D185" s="11"/>
      <c r="E185" s="16">
        <v>3.22</v>
      </c>
      <c r="G185" s="11"/>
      <c r="H185" s="11"/>
      <c r="I185" s="11"/>
      <c r="J185" s="11"/>
      <c r="K185" s="11"/>
      <c r="L185" s="11"/>
      <c r="M185" s="12"/>
      <c r="N185" s="185"/>
    </row>
    <row r="186" spans="1:14" ht="15" customHeight="1" x14ac:dyDescent="0.3">
      <c r="A186" s="13"/>
      <c r="B186" s="14"/>
      <c r="C186" s="12"/>
      <c r="D186" s="11"/>
      <c r="E186" s="11"/>
      <c r="G186" s="11"/>
      <c r="H186" s="11"/>
      <c r="I186" s="11"/>
      <c r="J186" s="11"/>
      <c r="K186" s="11"/>
      <c r="L186" s="11"/>
      <c r="M186" s="12"/>
      <c r="N186" s="185"/>
    </row>
    <row r="187" spans="1:14" ht="15" customHeight="1" x14ac:dyDescent="0.3">
      <c r="A187" s="13"/>
      <c r="B187" s="18"/>
      <c r="C187" s="12"/>
      <c r="D187" s="11"/>
      <c r="E187" s="11"/>
      <c r="F187" s="11"/>
      <c r="G187" s="11"/>
      <c r="H187" s="11"/>
      <c r="I187" s="11"/>
      <c r="J187" s="11"/>
      <c r="K187" s="11"/>
      <c r="L187" s="11"/>
      <c r="M187" s="12"/>
      <c r="N187" s="212">
        <f>SUM(E180:E185)</f>
        <v>83.149999999999991</v>
      </c>
    </row>
    <row r="188" spans="1:14" ht="15" customHeight="1" x14ac:dyDescent="0.3">
      <c r="A188" s="187" t="s">
        <v>66</v>
      </c>
      <c r="B188" s="188" t="s">
        <v>27</v>
      </c>
      <c r="C188" s="213"/>
      <c r="D188" s="11"/>
      <c r="E188" s="11"/>
      <c r="F188" s="11"/>
      <c r="G188" s="11"/>
      <c r="H188" s="11"/>
      <c r="I188" s="11"/>
      <c r="J188" s="11"/>
      <c r="K188" s="11"/>
      <c r="L188" s="11"/>
      <c r="M188" s="12"/>
      <c r="N188" s="185"/>
    </row>
    <row r="189" spans="1:14" ht="15" customHeight="1" x14ac:dyDescent="0.3">
      <c r="A189" s="13"/>
      <c r="B189" s="14" t="s">
        <v>222</v>
      </c>
      <c r="C189" s="12"/>
      <c r="D189" s="11"/>
      <c r="E189" s="16">
        <v>19.55</v>
      </c>
      <c r="F189" s="16"/>
      <c r="G189" s="16"/>
      <c r="H189" s="11"/>
      <c r="I189" s="11"/>
      <c r="J189" s="11"/>
      <c r="K189" s="11"/>
      <c r="L189" s="11"/>
      <c r="M189" s="12"/>
      <c r="N189" s="185"/>
    </row>
    <row r="190" spans="1:14" ht="15" customHeight="1" x14ac:dyDescent="0.3">
      <c r="A190" s="13"/>
      <c r="B190" s="14" t="s">
        <v>223</v>
      </c>
      <c r="C190" s="12"/>
      <c r="D190" s="11"/>
      <c r="E190" s="16">
        <v>37.03</v>
      </c>
      <c r="G190" s="11"/>
      <c r="H190" s="11"/>
      <c r="I190" s="11"/>
      <c r="J190" s="11"/>
      <c r="K190" s="11"/>
      <c r="L190" s="11"/>
      <c r="M190" s="12"/>
      <c r="N190" s="185"/>
    </row>
    <row r="191" spans="1:14" ht="15" customHeight="1" x14ac:dyDescent="0.3">
      <c r="A191" s="13"/>
      <c r="B191" s="14" t="s">
        <v>224</v>
      </c>
      <c r="C191" s="12"/>
      <c r="D191" s="11"/>
      <c r="E191" s="16">
        <v>11.14</v>
      </c>
      <c r="G191" s="11"/>
      <c r="H191" s="11"/>
      <c r="I191" s="11"/>
      <c r="J191" s="11"/>
      <c r="K191" s="11"/>
      <c r="L191" s="11"/>
      <c r="M191" s="12"/>
      <c r="N191" s="185"/>
    </row>
    <row r="192" spans="1:14" ht="15" customHeight="1" x14ac:dyDescent="0.3">
      <c r="A192" s="13"/>
      <c r="B192" s="14" t="s">
        <v>225</v>
      </c>
      <c r="C192" s="12"/>
      <c r="D192" s="11"/>
      <c r="E192" s="16">
        <v>10.1</v>
      </c>
      <c r="G192" s="11"/>
      <c r="H192" s="11"/>
      <c r="I192" s="11"/>
      <c r="J192" s="11"/>
      <c r="K192" s="11"/>
      <c r="L192" s="11"/>
      <c r="M192" s="12"/>
      <c r="N192" s="185"/>
    </row>
    <row r="193" spans="1:14" ht="15" customHeight="1" x14ac:dyDescent="0.3">
      <c r="A193" s="13"/>
      <c r="B193" s="14" t="s">
        <v>304</v>
      </c>
      <c r="C193" s="12"/>
      <c r="D193" s="11"/>
      <c r="E193" s="16">
        <v>2.11</v>
      </c>
      <c r="G193" s="11"/>
      <c r="H193" s="11"/>
      <c r="I193" s="11"/>
      <c r="J193" s="11"/>
      <c r="K193" s="11"/>
      <c r="L193" s="11"/>
      <c r="M193" s="12"/>
      <c r="N193" s="185"/>
    </row>
    <row r="194" spans="1:14" ht="15" customHeight="1" x14ac:dyDescent="0.3">
      <c r="A194" s="13"/>
      <c r="B194" s="14" t="s">
        <v>305</v>
      </c>
      <c r="C194" s="12"/>
      <c r="D194" s="11"/>
      <c r="E194" s="16">
        <v>3.22</v>
      </c>
      <c r="G194" s="11"/>
      <c r="H194" s="11"/>
      <c r="I194" s="11"/>
      <c r="J194" s="11"/>
      <c r="K194" s="11"/>
      <c r="L194" s="11"/>
      <c r="M194" s="12"/>
      <c r="N194" s="185"/>
    </row>
    <row r="195" spans="1:14" ht="15" customHeight="1" x14ac:dyDescent="0.3">
      <c r="A195" s="13"/>
      <c r="B195" s="18"/>
      <c r="C195" s="12"/>
      <c r="D195" s="11"/>
      <c r="E195" s="11"/>
      <c r="F195" s="11"/>
      <c r="G195" s="11"/>
      <c r="H195" s="11"/>
      <c r="I195" s="11"/>
      <c r="J195" s="11"/>
      <c r="K195" s="11"/>
      <c r="L195" s="11"/>
      <c r="M195" s="12"/>
      <c r="N195" s="212">
        <f>SUM(E189:E194)</f>
        <v>83.149999999999991</v>
      </c>
    </row>
    <row r="196" spans="1:14" ht="15" customHeight="1" x14ac:dyDescent="0.3">
      <c r="A196" s="187" t="s">
        <v>67</v>
      </c>
      <c r="B196" s="188" t="s">
        <v>28</v>
      </c>
      <c r="C196" s="213"/>
      <c r="D196" s="11"/>
      <c r="E196" s="11"/>
      <c r="F196" s="11"/>
      <c r="G196" s="11"/>
      <c r="H196" s="11"/>
      <c r="I196" s="11"/>
      <c r="J196" s="11"/>
      <c r="K196" s="11"/>
      <c r="L196" s="11"/>
      <c r="M196" s="12"/>
      <c r="N196" s="185"/>
    </row>
    <row r="197" spans="1:14" ht="15" customHeight="1" x14ac:dyDescent="0.3">
      <c r="A197" s="13"/>
      <c r="B197" s="14" t="s">
        <v>222</v>
      </c>
      <c r="C197" s="12"/>
      <c r="D197" s="11"/>
      <c r="E197" s="16">
        <v>19.55</v>
      </c>
      <c r="F197" s="16"/>
      <c r="G197" s="16"/>
      <c r="H197" s="11"/>
      <c r="I197" s="11"/>
      <c r="J197" s="11"/>
      <c r="K197" s="11"/>
      <c r="L197" s="11"/>
      <c r="M197" s="12"/>
      <c r="N197" s="185"/>
    </row>
    <row r="198" spans="1:14" ht="15" customHeight="1" x14ac:dyDescent="0.3">
      <c r="A198" s="13"/>
      <c r="B198" s="14" t="s">
        <v>223</v>
      </c>
      <c r="C198" s="12"/>
      <c r="D198" s="11"/>
      <c r="E198" s="16">
        <v>37.03</v>
      </c>
      <c r="G198" s="11"/>
      <c r="H198" s="11"/>
      <c r="I198" s="11"/>
      <c r="J198" s="11"/>
      <c r="K198" s="11"/>
      <c r="L198" s="11"/>
      <c r="M198" s="12"/>
      <c r="N198" s="185"/>
    </row>
    <row r="199" spans="1:14" ht="15" customHeight="1" x14ac:dyDescent="0.3">
      <c r="A199" s="13"/>
      <c r="B199" s="14" t="s">
        <v>224</v>
      </c>
      <c r="C199" s="12"/>
      <c r="D199" s="11"/>
      <c r="E199" s="16">
        <v>11.14</v>
      </c>
      <c r="G199" s="11"/>
      <c r="H199" s="11"/>
      <c r="I199" s="11"/>
      <c r="J199" s="11"/>
      <c r="K199" s="11"/>
      <c r="L199" s="11"/>
      <c r="M199" s="12"/>
      <c r="N199" s="185"/>
    </row>
    <row r="200" spans="1:14" ht="15" customHeight="1" x14ac:dyDescent="0.3">
      <c r="A200" s="13"/>
      <c r="B200" s="14" t="s">
        <v>225</v>
      </c>
      <c r="C200" s="12"/>
      <c r="D200" s="11"/>
      <c r="E200" s="16">
        <v>10.1</v>
      </c>
      <c r="G200" s="11"/>
      <c r="H200" s="11"/>
      <c r="I200" s="11"/>
      <c r="J200" s="11"/>
      <c r="K200" s="11"/>
      <c r="L200" s="11"/>
      <c r="M200" s="12"/>
      <c r="N200" s="185"/>
    </row>
    <row r="201" spans="1:14" ht="15" customHeight="1" x14ac:dyDescent="0.3">
      <c r="A201" s="13"/>
      <c r="B201" s="14" t="s">
        <v>304</v>
      </c>
      <c r="C201" s="12"/>
      <c r="D201" s="11"/>
      <c r="E201" s="16">
        <v>2.11</v>
      </c>
      <c r="G201" s="11"/>
      <c r="H201" s="11"/>
      <c r="I201" s="11"/>
      <c r="J201" s="11"/>
      <c r="K201" s="11"/>
      <c r="L201" s="11"/>
      <c r="M201" s="12"/>
      <c r="N201" s="185"/>
    </row>
    <row r="202" spans="1:14" ht="15" customHeight="1" x14ac:dyDescent="0.3">
      <c r="A202" s="13"/>
      <c r="B202" s="14" t="s">
        <v>305</v>
      </c>
      <c r="C202" s="12"/>
      <c r="D202" s="11"/>
      <c r="E202" s="16">
        <v>3.22</v>
      </c>
      <c r="G202" s="11"/>
      <c r="H202" s="11"/>
      <c r="I202" s="11"/>
      <c r="J202" s="11"/>
      <c r="K202" s="11"/>
      <c r="L202" s="11"/>
      <c r="M202" s="12"/>
      <c r="N202" s="185"/>
    </row>
    <row r="203" spans="1:14" ht="15" customHeight="1" x14ac:dyDescent="0.3">
      <c r="A203" s="13"/>
      <c r="B203" s="18"/>
      <c r="C203" s="12"/>
      <c r="D203" s="11"/>
      <c r="E203" s="11"/>
      <c r="F203" s="11"/>
      <c r="G203" s="11"/>
      <c r="H203" s="11"/>
      <c r="I203" s="11"/>
      <c r="J203" s="11"/>
      <c r="K203" s="11"/>
      <c r="L203" s="11"/>
      <c r="M203" s="12"/>
      <c r="N203" s="212">
        <f>SUM(E197:E202)</f>
        <v>83.149999999999991</v>
      </c>
    </row>
    <row r="204" spans="1:14" ht="15" customHeight="1" x14ac:dyDescent="0.3">
      <c r="A204" s="13"/>
      <c r="B204" s="18"/>
      <c r="C204" s="12"/>
      <c r="D204" s="11"/>
      <c r="E204" s="11"/>
      <c r="F204" s="11"/>
      <c r="G204" s="11"/>
      <c r="H204" s="11"/>
      <c r="I204" s="11"/>
      <c r="J204" s="11"/>
      <c r="K204" s="11"/>
      <c r="L204" s="11"/>
      <c r="M204" s="12"/>
      <c r="N204" s="185"/>
    </row>
    <row r="205" spans="1:14" ht="15" customHeight="1" x14ac:dyDescent="0.3">
      <c r="A205" s="187" t="s">
        <v>68</v>
      </c>
      <c r="B205" s="188" t="s">
        <v>29</v>
      </c>
      <c r="C205" s="213"/>
      <c r="D205" s="11"/>
      <c r="E205" s="11"/>
      <c r="F205" s="11"/>
      <c r="G205" s="11"/>
      <c r="H205" s="11"/>
      <c r="I205" s="11"/>
      <c r="J205" s="11"/>
      <c r="K205" s="11"/>
      <c r="L205" s="11"/>
      <c r="M205" s="12"/>
      <c r="N205" s="185"/>
    </row>
    <row r="206" spans="1:14" ht="15" customHeight="1" x14ac:dyDescent="0.3">
      <c r="A206" s="13"/>
      <c r="B206" s="14" t="s">
        <v>222</v>
      </c>
      <c r="C206" s="12"/>
      <c r="D206" s="11"/>
      <c r="E206" s="16">
        <v>19.55</v>
      </c>
      <c r="F206" s="16"/>
      <c r="G206" s="16"/>
      <c r="H206" s="11"/>
      <c r="I206" s="11"/>
      <c r="J206" s="11"/>
      <c r="K206" s="11"/>
      <c r="L206" s="11"/>
      <c r="M206" s="12"/>
      <c r="N206" s="185"/>
    </row>
    <row r="207" spans="1:14" ht="15" customHeight="1" x14ac:dyDescent="0.3">
      <c r="A207" s="13"/>
      <c r="B207" s="14" t="s">
        <v>223</v>
      </c>
      <c r="C207" s="12"/>
      <c r="D207" s="11"/>
      <c r="E207" s="16">
        <v>37.03</v>
      </c>
      <c r="F207" s="16"/>
      <c r="G207" s="11"/>
      <c r="H207" s="11"/>
      <c r="I207" s="11"/>
      <c r="J207" s="11"/>
      <c r="K207" s="11"/>
      <c r="L207" s="11"/>
      <c r="M207" s="12"/>
      <c r="N207" s="185"/>
    </row>
    <row r="208" spans="1:14" ht="15" customHeight="1" x14ac:dyDescent="0.3">
      <c r="A208" s="13"/>
      <c r="B208" s="14" t="s">
        <v>224</v>
      </c>
      <c r="C208" s="12"/>
      <c r="D208" s="11"/>
      <c r="E208" s="16">
        <v>11.14</v>
      </c>
      <c r="F208" s="11"/>
      <c r="G208" s="11"/>
      <c r="H208" s="11"/>
      <c r="I208" s="11"/>
      <c r="J208" s="11"/>
      <c r="K208" s="11"/>
      <c r="L208" s="11"/>
      <c r="M208" s="12"/>
      <c r="N208" s="185"/>
    </row>
    <row r="209" spans="1:14" ht="15" customHeight="1" x14ac:dyDescent="0.3">
      <c r="A209" s="13"/>
      <c r="B209" s="14" t="s">
        <v>225</v>
      </c>
      <c r="C209" s="12"/>
      <c r="D209" s="11"/>
      <c r="E209" s="16">
        <v>10.1</v>
      </c>
      <c r="F209" s="11"/>
      <c r="G209" s="11"/>
      <c r="H209" s="11"/>
      <c r="I209" s="11"/>
      <c r="J209" s="11"/>
      <c r="K209" s="11"/>
      <c r="L209" s="11"/>
      <c r="M209" s="12"/>
      <c r="N209" s="185"/>
    </row>
    <row r="210" spans="1:14" ht="15" customHeight="1" x14ac:dyDescent="0.3">
      <c r="A210" s="13"/>
      <c r="B210" s="14" t="s">
        <v>304</v>
      </c>
      <c r="C210" s="12"/>
      <c r="D210" s="11"/>
      <c r="E210" s="16">
        <v>2.11</v>
      </c>
      <c r="F210" s="11"/>
      <c r="G210" s="11"/>
      <c r="H210" s="11"/>
      <c r="I210" s="11"/>
      <c r="J210" s="11"/>
      <c r="K210" s="11"/>
      <c r="L210" s="11"/>
      <c r="M210" s="12"/>
      <c r="N210" s="185"/>
    </row>
    <row r="211" spans="1:14" ht="15" customHeight="1" x14ac:dyDescent="0.3">
      <c r="A211" s="13"/>
      <c r="B211" s="14" t="s">
        <v>305</v>
      </c>
      <c r="C211" s="12"/>
      <c r="D211" s="11"/>
      <c r="E211" s="16">
        <v>3.22</v>
      </c>
      <c r="F211" s="11"/>
      <c r="G211" s="11"/>
      <c r="H211" s="11"/>
      <c r="I211" s="11"/>
      <c r="J211" s="11"/>
      <c r="K211" s="11"/>
      <c r="L211" s="11"/>
      <c r="M211" s="12"/>
      <c r="N211" s="185"/>
    </row>
    <row r="212" spans="1:14" ht="15" customHeight="1" x14ac:dyDescent="0.3">
      <c r="A212" s="13"/>
      <c r="B212" s="18"/>
      <c r="C212" s="12"/>
      <c r="D212" s="11"/>
      <c r="E212" s="11"/>
      <c r="F212" s="11"/>
      <c r="G212" s="11"/>
      <c r="H212" s="11"/>
      <c r="I212" s="11"/>
      <c r="J212" s="11"/>
      <c r="K212" s="11"/>
      <c r="L212" s="11"/>
      <c r="M212" s="12"/>
      <c r="N212" s="212">
        <f>SUM(E206:E211)</f>
        <v>83.149999999999991</v>
      </c>
    </row>
    <row r="213" spans="1:14" ht="15" customHeight="1" x14ac:dyDescent="0.3">
      <c r="A213" s="13"/>
      <c r="B213" s="18"/>
      <c r="C213" s="12"/>
      <c r="D213" s="11"/>
      <c r="E213" s="11"/>
      <c r="F213" s="11"/>
      <c r="G213" s="11"/>
      <c r="H213" s="11"/>
      <c r="I213" s="11"/>
      <c r="J213" s="11"/>
      <c r="K213" s="11"/>
      <c r="L213" s="11"/>
      <c r="M213" s="12"/>
      <c r="N213" s="185"/>
    </row>
    <row r="214" spans="1:14" ht="15" customHeight="1" x14ac:dyDescent="0.25">
      <c r="A214" s="6" t="s">
        <v>301</v>
      </c>
      <c r="B214" s="7" t="s">
        <v>303</v>
      </c>
      <c r="C214" s="8"/>
      <c r="D214" s="9"/>
      <c r="E214" s="9"/>
      <c r="F214" s="9"/>
      <c r="G214" s="9"/>
      <c r="H214" s="9"/>
      <c r="I214" s="9"/>
      <c r="J214" s="9"/>
      <c r="K214" s="9"/>
      <c r="L214" s="9"/>
      <c r="M214" s="8"/>
      <c r="N214" s="10"/>
    </row>
    <row r="215" spans="1:14" ht="15" customHeight="1" x14ac:dyDescent="0.3">
      <c r="A215" s="187" t="s">
        <v>274</v>
      </c>
      <c r="B215" s="188" t="s">
        <v>292</v>
      </c>
      <c r="C215" s="213"/>
      <c r="D215" s="11"/>
      <c r="E215" s="11"/>
      <c r="F215" s="11"/>
      <c r="G215" s="11"/>
      <c r="H215" s="11"/>
      <c r="I215" s="11"/>
      <c r="J215" s="11"/>
      <c r="K215" s="11"/>
      <c r="L215" s="11"/>
      <c r="M215" s="12"/>
      <c r="N215" s="185"/>
    </row>
    <row r="216" spans="1:14" ht="15" customHeight="1" x14ac:dyDescent="0.3">
      <c r="A216" s="13"/>
      <c r="B216" s="18"/>
      <c r="C216" s="12"/>
      <c r="D216" s="17">
        <v>1</v>
      </c>
      <c r="E216" s="11"/>
      <c r="F216" s="11"/>
      <c r="G216" s="11"/>
      <c r="H216" s="11"/>
      <c r="I216" s="11"/>
      <c r="J216" s="11"/>
      <c r="K216" s="11"/>
      <c r="L216" s="11"/>
      <c r="M216" s="12"/>
      <c r="N216" s="185"/>
    </row>
    <row r="217" spans="1:14" ht="15" customHeight="1" x14ac:dyDescent="0.3">
      <c r="A217" s="13"/>
      <c r="B217" s="18"/>
      <c r="C217" s="12"/>
      <c r="D217" s="11"/>
      <c r="E217" s="11"/>
      <c r="F217" s="11"/>
      <c r="G217" s="11"/>
      <c r="H217" s="11"/>
      <c r="I217" s="11"/>
      <c r="J217" s="11"/>
      <c r="K217" s="11"/>
      <c r="L217" s="11"/>
      <c r="M217" s="12"/>
      <c r="N217" s="212">
        <f>D216</f>
        <v>1</v>
      </c>
    </row>
    <row r="218" spans="1:14" ht="15" customHeight="1" x14ac:dyDescent="0.3">
      <c r="A218" s="13"/>
      <c r="B218" s="18"/>
      <c r="C218" s="12"/>
      <c r="D218" s="11"/>
      <c r="E218" s="11"/>
      <c r="F218" s="11"/>
      <c r="G218" s="11"/>
      <c r="H218" s="11"/>
      <c r="I218" s="11"/>
      <c r="J218" s="11"/>
      <c r="K218" s="11"/>
      <c r="L218" s="11"/>
      <c r="M218" s="12"/>
      <c r="N218" s="185"/>
    </row>
    <row r="219" spans="1:14" ht="15" customHeight="1" x14ac:dyDescent="0.3">
      <c r="A219" s="187" t="s">
        <v>282</v>
      </c>
      <c r="B219" s="188" t="s">
        <v>281</v>
      </c>
      <c r="C219" s="213"/>
      <c r="D219" s="11"/>
      <c r="E219" s="11"/>
      <c r="F219" s="11"/>
      <c r="G219" s="11"/>
      <c r="H219" s="11"/>
      <c r="I219" s="11"/>
      <c r="J219" s="11"/>
      <c r="K219" s="11"/>
      <c r="L219" s="11"/>
      <c r="M219" s="12"/>
      <c r="N219" s="185"/>
    </row>
    <row r="220" spans="1:14" ht="15" customHeight="1" x14ac:dyDescent="0.3">
      <c r="A220" s="13"/>
      <c r="B220" s="18"/>
      <c r="C220" s="12"/>
      <c r="D220" s="17">
        <v>1</v>
      </c>
      <c r="E220" s="11"/>
      <c r="F220" s="11"/>
      <c r="G220" s="11"/>
      <c r="H220" s="11"/>
      <c r="I220" s="11"/>
      <c r="J220" s="11"/>
      <c r="K220" s="11"/>
      <c r="L220" s="11"/>
      <c r="M220" s="12"/>
      <c r="N220" s="185"/>
    </row>
    <row r="221" spans="1:14" ht="15" customHeight="1" x14ac:dyDescent="0.3">
      <c r="A221" s="13"/>
      <c r="B221" s="18"/>
      <c r="C221" s="12"/>
      <c r="D221" s="11"/>
      <c r="E221" s="11"/>
      <c r="F221" s="11"/>
      <c r="G221" s="11"/>
      <c r="H221" s="11"/>
      <c r="I221" s="11"/>
      <c r="J221" s="11"/>
      <c r="K221" s="11"/>
      <c r="L221" s="11"/>
      <c r="M221" s="12"/>
      <c r="N221" s="212">
        <f>D220</f>
        <v>1</v>
      </c>
    </row>
    <row r="222" spans="1:14" ht="15" customHeight="1" x14ac:dyDescent="0.3">
      <c r="A222" s="13"/>
      <c r="B222" s="18"/>
      <c r="C222" s="12"/>
      <c r="D222" s="11"/>
      <c r="E222" s="11"/>
      <c r="F222" s="11"/>
      <c r="G222" s="11"/>
      <c r="H222" s="11"/>
      <c r="I222" s="11"/>
      <c r="J222" s="11"/>
      <c r="K222" s="11"/>
      <c r="L222" s="11"/>
      <c r="M222" s="12"/>
      <c r="N222" s="185"/>
    </row>
    <row r="223" spans="1:14" ht="15" customHeight="1" x14ac:dyDescent="0.3">
      <c r="A223" s="187" t="s">
        <v>283</v>
      </c>
      <c r="B223" s="188" t="s">
        <v>291</v>
      </c>
      <c r="C223" s="213"/>
      <c r="D223" s="11"/>
      <c r="E223" s="11"/>
      <c r="F223" s="11"/>
      <c r="G223" s="11"/>
      <c r="H223" s="11"/>
      <c r="I223" s="11"/>
      <c r="J223" s="11"/>
      <c r="K223" s="11"/>
      <c r="L223" s="11"/>
      <c r="M223" s="12"/>
      <c r="N223" s="185"/>
    </row>
    <row r="224" spans="1:14" ht="15" customHeight="1" x14ac:dyDescent="0.3">
      <c r="A224" s="13"/>
      <c r="B224" s="14" t="s">
        <v>222</v>
      </c>
      <c r="C224" s="12"/>
      <c r="D224" s="17">
        <v>4</v>
      </c>
      <c r="E224" s="11"/>
      <c r="F224" s="11"/>
      <c r="G224" s="11"/>
      <c r="H224" s="11"/>
      <c r="I224" s="11"/>
      <c r="J224" s="11"/>
      <c r="K224" s="11"/>
      <c r="L224" s="11"/>
      <c r="M224" s="12"/>
      <c r="N224" s="185"/>
    </row>
    <row r="225" spans="1:14" ht="15" customHeight="1" x14ac:dyDescent="0.3">
      <c r="A225" s="13"/>
      <c r="B225" s="14" t="s">
        <v>223</v>
      </c>
      <c r="C225" s="12"/>
      <c r="D225" s="17">
        <v>6</v>
      </c>
      <c r="E225" s="11"/>
      <c r="F225" s="11"/>
      <c r="G225" s="11"/>
      <c r="H225" s="11"/>
      <c r="I225" s="11"/>
      <c r="J225" s="11"/>
      <c r="K225" s="11"/>
      <c r="L225" s="11"/>
      <c r="M225" s="12"/>
      <c r="N225" s="185"/>
    </row>
    <row r="226" spans="1:14" ht="15" customHeight="1" x14ac:dyDescent="0.3">
      <c r="A226" s="13"/>
      <c r="B226" s="14" t="s">
        <v>224</v>
      </c>
      <c r="C226" s="12"/>
      <c r="D226" s="17">
        <v>2</v>
      </c>
      <c r="E226" s="11"/>
      <c r="F226" s="11"/>
      <c r="G226" s="11"/>
      <c r="H226" s="11"/>
      <c r="I226" s="11"/>
      <c r="J226" s="11"/>
      <c r="K226" s="11"/>
      <c r="L226" s="11"/>
      <c r="M226" s="12"/>
      <c r="N226" s="185"/>
    </row>
    <row r="227" spans="1:14" ht="15" customHeight="1" x14ac:dyDescent="0.3">
      <c r="A227" s="13"/>
      <c r="B227" s="14" t="s">
        <v>225</v>
      </c>
      <c r="C227" s="12"/>
      <c r="D227" s="17">
        <v>1</v>
      </c>
      <c r="E227" s="11"/>
      <c r="F227" s="11"/>
      <c r="G227" s="11"/>
      <c r="H227" s="11"/>
      <c r="I227" s="11"/>
      <c r="J227" s="11"/>
      <c r="K227" s="11"/>
      <c r="L227" s="11"/>
      <c r="M227" s="12"/>
      <c r="N227" s="185"/>
    </row>
    <row r="228" spans="1:14" ht="15" customHeight="1" x14ac:dyDescent="0.3">
      <c r="A228" s="13"/>
      <c r="B228" s="14" t="s">
        <v>304</v>
      </c>
      <c r="C228" s="12"/>
      <c r="D228" s="17">
        <v>1</v>
      </c>
      <c r="E228" s="11"/>
      <c r="F228" s="11"/>
      <c r="G228" s="11"/>
      <c r="H228" s="11"/>
      <c r="I228" s="11"/>
      <c r="J228" s="11"/>
      <c r="K228" s="11"/>
      <c r="L228" s="11"/>
      <c r="M228" s="12"/>
      <c r="N228" s="185"/>
    </row>
    <row r="229" spans="1:14" ht="15" customHeight="1" x14ac:dyDescent="0.3">
      <c r="A229" s="13"/>
      <c r="B229" s="14" t="s">
        <v>305</v>
      </c>
      <c r="C229" s="12"/>
      <c r="D229" s="17">
        <v>1</v>
      </c>
      <c r="E229" s="11"/>
      <c r="F229" s="11"/>
      <c r="G229" s="11"/>
      <c r="H229" s="11"/>
      <c r="I229" s="11"/>
      <c r="J229" s="11"/>
      <c r="K229" s="11"/>
      <c r="L229" s="11"/>
      <c r="M229" s="12"/>
      <c r="N229" s="185"/>
    </row>
    <row r="230" spans="1:14" ht="15" customHeight="1" x14ac:dyDescent="0.3">
      <c r="A230" s="13"/>
      <c r="B230" s="18"/>
      <c r="C230" s="12"/>
      <c r="D230" s="17"/>
      <c r="E230" s="11"/>
      <c r="F230" s="11"/>
      <c r="G230" s="11"/>
      <c r="H230" s="11"/>
      <c r="I230" s="11"/>
      <c r="J230" s="11"/>
      <c r="K230" s="11"/>
      <c r="L230" s="11"/>
      <c r="M230" s="12"/>
      <c r="N230" s="212">
        <f>SUM(D224:D229)</f>
        <v>15</v>
      </c>
    </row>
    <row r="231" spans="1:14" ht="15" customHeight="1" x14ac:dyDescent="0.3">
      <c r="A231" s="13"/>
      <c r="B231" s="18"/>
      <c r="C231" s="12"/>
      <c r="D231" s="17"/>
      <c r="E231" s="11"/>
      <c r="F231" s="11"/>
      <c r="G231" s="11"/>
      <c r="H231" s="11"/>
      <c r="I231" s="11"/>
      <c r="J231" s="11"/>
      <c r="K231" s="11"/>
      <c r="L231" s="11"/>
      <c r="M231" s="12"/>
      <c r="N231" s="185"/>
    </row>
    <row r="232" spans="1:14" ht="15" customHeight="1" x14ac:dyDescent="0.3">
      <c r="A232" s="187" t="s">
        <v>294</v>
      </c>
      <c r="B232" s="188" t="s">
        <v>443</v>
      </c>
      <c r="C232" s="213"/>
      <c r="D232" s="11"/>
      <c r="E232" s="11"/>
      <c r="F232" s="11"/>
      <c r="G232" s="11"/>
      <c r="H232" s="11"/>
      <c r="I232" s="11"/>
      <c r="J232" s="11"/>
      <c r="K232" s="11"/>
      <c r="L232" s="11"/>
      <c r="M232" s="12"/>
      <c r="N232" s="185"/>
    </row>
    <row r="233" spans="1:14" ht="15" customHeight="1" x14ac:dyDescent="0.3">
      <c r="A233" s="13"/>
      <c r="B233" s="18"/>
      <c r="C233" s="12"/>
      <c r="D233" s="17">
        <v>12</v>
      </c>
      <c r="E233" s="11"/>
      <c r="F233" s="11"/>
      <c r="G233" s="11"/>
      <c r="H233" s="11"/>
      <c r="I233" s="11"/>
      <c r="J233" s="11"/>
      <c r="K233" s="11"/>
      <c r="L233" s="11"/>
      <c r="M233" s="12"/>
      <c r="N233" s="185"/>
    </row>
    <row r="234" spans="1:14" ht="15" customHeight="1" x14ac:dyDescent="0.3">
      <c r="A234" s="13"/>
      <c r="B234" s="18"/>
      <c r="C234" s="12"/>
      <c r="D234" s="11"/>
      <c r="E234" s="11"/>
      <c r="F234" s="11"/>
      <c r="G234" s="11"/>
      <c r="H234" s="11"/>
      <c r="I234" s="11"/>
      <c r="J234" s="11"/>
      <c r="K234" s="11"/>
      <c r="L234" s="11"/>
      <c r="M234" s="12"/>
      <c r="N234" s="212">
        <f>D233</f>
        <v>12</v>
      </c>
    </row>
    <row r="235" spans="1:14" ht="15" customHeight="1" x14ac:dyDescent="0.3">
      <c r="A235" s="13"/>
      <c r="B235" s="18"/>
      <c r="C235" s="12"/>
      <c r="D235" s="11"/>
      <c r="E235" s="11"/>
      <c r="F235" s="11"/>
      <c r="G235" s="11"/>
      <c r="H235" s="11"/>
      <c r="I235" s="11"/>
      <c r="J235" s="11"/>
      <c r="K235" s="11"/>
      <c r="L235" s="11"/>
      <c r="M235" s="12"/>
      <c r="N235" s="185"/>
    </row>
    <row r="236" spans="1:14" ht="15" customHeight="1" x14ac:dyDescent="0.25">
      <c r="A236" s="6" t="s">
        <v>426</v>
      </c>
      <c r="B236" s="7" t="s">
        <v>431</v>
      </c>
      <c r="C236" s="8"/>
      <c r="D236" s="9"/>
      <c r="E236" s="9"/>
      <c r="F236" s="9"/>
      <c r="G236" s="9"/>
      <c r="H236" s="9"/>
      <c r="I236" s="9"/>
      <c r="J236" s="9"/>
      <c r="K236" s="9"/>
      <c r="L236" s="9"/>
      <c r="M236" s="8"/>
      <c r="N236" s="10"/>
    </row>
    <row r="237" spans="1:14" ht="15" customHeight="1" x14ac:dyDescent="0.3">
      <c r="A237" s="187" t="s">
        <v>427</v>
      </c>
      <c r="B237" s="188" t="s">
        <v>432</v>
      </c>
      <c r="C237" s="213"/>
      <c r="D237" s="11"/>
      <c r="E237" s="11"/>
      <c r="F237" s="11"/>
      <c r="G237" s="11"/>
      <c r="H237" s="11"/>
      <c r="I237" s="11"/>
      <c r="J237" s="11"/>
      <c r="K237" s="11"/>
      <c r="L237" s="11"/>
      <c r="M237" s="12"/>
      <c r="N237" s="185"/>
    </row>
    <row r="238" spans="1:14" ht="15" customHeight="1" x14ac:dyDescent="0.3">
      <c r="A238" s="13"/>
      <c r="B238" s="14" t="s">
        <v>434</v>
      </c>
      <c r="C238" s="12"/>
      <c r="D238" s="16">
        <v>16</v>
      </c>
      <c r="E238" s="16"/>
      <c r="F238" s="16">
        <v>1</v>
      </c>
      <c r="G238" s="16">
        <v>1</v>
      </c>
      <c r="H238" s="11"/>
      <c r="I238" s="11"/>
      <c r="J238" s="11"/>
      <c r="K238" s="11"/>
      <c r="L238" s="11"/>
      <c r="M238" s="12"/>
      <c r="N238" s="185">
        <f>G238*F238*D238</f>
        <v>16</v>
      </c>
    </row>
    <row r="239" spans="1:14" ht="15" customHeight="1" x14ac:dyDescent="0.3">
      <c r="A239" s="13"/>
      <c r="B239" s="14" t="s">
        <v>433</v>
      </c>
      <c r="C239" s="12"/>
      <c r="D239" s="16">
        <v>6</v>
      </c>
      <c r="E239" s="11"/>
      <c r="F239" s="11"/>
      <c r="G239" s="11"/>
      <c r="H239" s="11"/>
      <c r="I239" s="11"/>
      <c r="J239" s="11"/>
      <c r="K239" s="11"/>
      <c r="L239" s="11"/>
      <c r="M239" s="12"/>
      <c r="N239" s="214">
        <f>N238*D239</f>
        <v>96</v>
      </c>
    </row>
    <row r="240" spans="1:14" ht="15" customHeight="1" x14ac:dyDescent="0.3">
      <c r="A240" s="13"/>
      <c r="B240" s="18"/>
      <c r="C240" s="12"/>
      <c r="D240" s="11"/>
      <c r="E240" s="11"/>
      <c r="F240" s="11"/>
      <c r="G240" s="11"/>
      <c r="H240" s="11"/>
      <c r="I240" s="11"/>
      <c r="J240" s="11"/>
      <c r="K240" s="11"/>
      <c r="L240" s="11"/>
      <c r="M240" s="12"/>
      <c r="N240" s="185"/>
    </row>
    <row r="241" spans="1:14" s="236" customFormat="1" ht="15" customHeight="1" x14ac:dyDescent="0.3">
      <c r="A241" s="13"/>
      <c r="B241" s="18"/>
      <c r="C241" s="12"/>
      <c r="D241" s="11"/>
      <c r="E241" s="11"/>
      <c r="F241" s="11"/>
      <c r="G241" s="11"/>
      <c r="H241" s="11"/>
      <c r="I241" s="11"/>
      <c r="J241" s="11"/>
      <c r="K241" s="11"/>
      <c r="L241" s="11"/>
      <c r="M241" s="12"/>
      <c r="N241" s="185"/>
    </row>
    <row r="242" spans="1:14" s="236" customFormat="1" ht="15" customHeight="1" x14ac:dyDescent="0.3">
      <c r="A242" s="187" t="s">
        <v>437</v>
      </c>
      <c r="B242" s="188" t="s">
        <v>436</v>
      </c>
      <c r="C242" s="213"/>
      <c r="D242" s="11"/>
      <c r="E242" s="11"/>
      <c r="F242" s="11"/>
      <c r="G242" s="11"/>
      <c r="H242" s="11"/>
      <c r="I242" s="11"/>
      <c r="J242" s="11"/>
      <c r="K242" s="11"/>
      <c r="L242" s="11"/>
      <c r="M242" s="12"/>
      <c r="N242" s="185"/>
    </row>
    <row r="243" spans="1:14" s="236" customFormat="1" ht="15" customHeight="1" x14ac:dyDescent="0.3">
      <c r="A243" s="13"/>
      <c r="B243" s="14" t="s">
        <v>434</v>
      </c>
      <c r="C243" s="12"/>
      <c r="D243" s="16">
        <v>16</v>
      </c>
      <c r="E243" s="16"/>
      <c r="F243" s="16">
        <v>1</v>
      </c>
      <c r="G243" s="16">
        <v>1</v>
      </c>
      <c r="H243" s="11"/>
      <c r="I243" s="11"/>
      <c r="J243" s="11"/>
      <c r="K243" s="11"/>
      <c r="L243" s="11"/>
      <c r="M243" s="12"/>
      <c r="N243" s="214">
        <f>G243*F243*D243</f>
        <v>16</v>
      </c>
    </row>
    <row r="244" spans="1:14" s="236" customFormat="1" ht="15" customHeight="1" x14ac:dyDescent="0.3">
      <c r="A244" s="13"/>
      <c r="B244" s="18"/>
      <c r="C244" s="12"/>
      <c r="D244" s="11"/>
      <c r="E244" s="11"/>
      <c r="F244" s="11"/>
      <c r="G244" s="11"/>
      <c r="H244" s="11"/>
      <c r="I244" s="11"/>
      <c r="J244" s="11"/>
      <c r="K244" s="11"/>
      <c r="L244" s="11"/>
      <c r="M244" s="12"/>
      <c r="N244" s="185"/>
    </row>
    <row r="245" spans="1:14" s="236" customFormat="1" ht="15" customHeight="1" x14ac:dyDescent="0.3">
      <c r="A245" s="13"/>
      <c r="B245" s="18"/>
      <c r="C245" s="12"/>
      <c r="D245" s="11"/>
      <c r="E245" s="11"/>
      <c r="F245" s="11"/>
      <c r="G245" s="11"/>
      <c r="H245" s="11"/>
      <c r="I245" s="11"/>
      <c r="J245" s="11"/>
      <c r="K245" s="11"/>
      <c r="L245" s="11"/>
      <c r="M245" s="12"/>
      <c r="N245" s="185"/>
    </row>
    <row r="246" spans="1:14" s="236" customFormat="1" ht="15" customHeight="1" x14ac:dyDescent="0.3">
      <c r="A246" s="13"/>
      <c r="B246" s="18"/>
      <c r="C246" s="12"/>
      <c r="D246" s="11"/>
      <c r="E246" s="11"/>
      <c r="F246" s="11"/>
      <c r="G246" s="11"/>
      <c r="H246" s="11"/>
      <c r="I246" s="11"/>
      <c r="J246" s="11"/>
      <c r="K246" s="11"/>
      <c r="L246" s="11"/>
      <c r="M246" s="12"/>
      <c r="N246" s="185"/>
    </row>
    <row r="247" spans="1:14" ht="15" customHeight="1" x14ac:dyDescent="0.3">
      <c r="A247" s="13"/>
      <c r="B247" s="18"/>
      <c r="C247" s="12"/>
      <c r="D247" s="11"/>
      <c r="E247" s="11"/>
      <c r="F247" s="11"/>
      <c r="G247" s="11"/>
      <c r="H247" s="11"/>
      <c r="I247" s="11"/>
      <c r="J247" s="11"/>
      <c r="K247" s="11"/>
      <c r="L247" s="11"/>
      <c r="M247" s="12"/>
      <c r="N247" s="185"/>
    </row>
  </sheetData>
  <mergeCells count="1">
    <mergeCell ref="A1:N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4"/>
  <sheetViews>
    <sheetView tabSelected="1" zoomScale="90" zoomScaleNormal="90" workbookViewId="0">
      <pane ySplit="6" topLeftCell="A7" activePane="bottomLeft" state="frozen"/>
      <selection pane="bottomLeft" activeCell="A7" sqref="A7"/>
    </sheetView>
  </sheetViews>
  <sheetFormatPr defaultRowHeight="15" x14ac:dyDescent="0.25"/>
  <cols>
    <col min="1" max="1" width="7" customWidth="1"/>
    <col min="2" max="2" width="17.42578125" customWidth="1"/>
    <col min="3" max="3" width="80.7109375" customWidth="1"/>
    <col min="7" max="8" width="13.28515625" bestFit="1" customWidth="1"/>
    <col min="9" max="10" width="13.28515625" style="236" customWidth="1"/>
    <col min="11" max="11" width="12.5703125" customWidth="1"/>
  </cols>
  <sheetData>
    <row r="1" spans="1:11" s="425" customFormat="1" ht="31.5" customHeight="1" x14ac:dyDescent="0.3">
      <c r="A1" s="426"/>
      <c r="B1" s="493" t="s">
        <v>420</v>
      </c>
      <c r="C1" s="493"/>
      <c r="D1" s="427"/>
      <c r="E1" s="428"/>
      <c r="F1" s="429"/>
      <c r="G1" s="429"/>
      <c r="H1" s="494" t="s">
        <v>423</v>
      </c>
      <c r="I1" s="494"/>
      <c r="J1" s="494"/>
      <c r="K1" s="495"/>
    </row>
    <row r="2" spans="1:11" ht="18" x14ac:dyDescent="0.25">
      <c r="A2" s="34"/>
      <c r="B2" s="312" t="s">
        <v>322</v>
      </c>
      <c r="C2" s="312"/>
      <c r="D2" s="424" t="s">
        <v>323</v>
      </c>
      <c r="E2" s="32"/>
      <c r="F2" s="33"/>
      <c r="G2" s="33"/>
      <c r="H2" s="494"/>
      <c r="I2" s="494"/>
      <c r="J2" s="494"/>
      <c r="K2" s="495"/>
    </row>
    <row r="3" spans="1:11" x14ac:dyDescent="0.25">
      <c r="A3" s="34"/>
      <c r="B3" s="313" t="s">
        <v>70</v>
      </c>
      <c r="C3" s="313"/>
      <c r="D3" s="32"/>
      <c r="E3" s="32"/>
      <c r="F3" s="33"/>
      <c r="G3" s="33"/>
      <c r="H3" s="494"/>
      <c r="I3" s="494"/>
      <c r="J3" s="494"/>
      <c r="K3" s="495"/>
    </row>
    <row r="4" spans="1:11" ht="16.5" thickBot="1" x14ac:dyDescent="0.35">
      <c r="A4" s="35"/>
      <c r="B4" s="35"/>
      <c r="C4" s="36" t="s">
        <v>32</v>
      </c>
      <c r="D4" s="37"/>
      <c r="E4" s="37"/>
      <c r="F4" s="39"/>
      <c r="G4" s="39"/>
      <c r="H4" s="40"/>
      <c r="I4" s="40"/>
      <c r="J4" s="40"/>
      <c r="K4" s="38"/>
    </row>
    <row r="5" spans="1:11" ht="15.75" x14ac:dyDescent="0.3">
      <c r="A5" s="41"/>
      <c r="B5" s="66"/>
      <c r="C5" s="269"/>
      <c r="D5" s="267"/>
      <c r="E5" s="264"/>
      <c r="F5" s="497" t="s">
        <v>33</v>
      </c>
      <c r="G5" s="498"/>
      <c r="H5" s="499"/>
      <c r="I5" s="500" t="s">
        <v>320</v>
      </c>
      <c r="J5" s="501"/>
      <c r="K5" s="502"/>
    </row>
    <row r="6" spans="1:11" ht="15.75" x14ac:dyDescent="0.3">
      <c r="A6" s="42" t="s">
        <v>34</v>
      </c>
      <c r="B6" s="184" t="s">
        <v>174</v>
      </c>
      <c r="C6" s="266" t="s">
        <v>35</v>
      </c>
      <c r="D6" s="268" t="s">
        <v>1</v>
      </c>
      <c r="E6" s="265" t="s">
        <v>36</v>
      </c>
      <c r="F6" s="261" t="s">
        <v>37</v>
      </c>
      <c r="G6" s="262" t="s">
        <v>93</v>
      </c>
      <c r="H6" s="263" t="s">
        <v>38</v>
      </c>
      <c r="I6" s="261" t="s">
        <v>37</v>
      </c>
      <c r="J6" s="262" t="s">
        <v>93</v>
      </c>
      <c r="K6" s="270" t="s">
        <v>11</v>
      </c>
    </row>
    <row r="7" spans="1:11" ht="15.75" x14ac:dyDescent="0.3">
      <c r="A7" s="50" t="s">
        <v>39</v>
      </c>
      <c r="B7" s="178"/>
      <c r="C7" s="51" t="s">
        <v>159</v>
      </c>
      <c r="D7" s="45"/>
      <c r="E7" s="45"/>
      <c r="F7" s="47"/>
      <c r="G7" s="47"/>
      <c r="H7" s="48"/>
      <c r="I7" s="258"/>
      <c r="J7" s="258"/>
      <c r="K7" s="49"/>
    </row>
    <row r="8" spans="1:11" ht="42.75" x14ac:dyDescent="0.3">
      <c r="A8" s="179" t="s">
        <v>41</v>
      </c>
      <c r="B8" s="180" t="s">
        <v>160</v>
      </c>
      <c r="C8" s="56" t="s">
        <v>161</v>
      </c>
      <c r="D8" s="45">
        <f>ROUND('memória de cálculo'!N6,2)</f>
        <v>6</v>
      </c>
      <c r="E8" s="45" t="s">
        <v>175</v>
      </c>
      <c r="F8" s="47">
        <v>312.5</v>
      </c>
      <c r="G8" s="47">
        <v>0</v>
      </c>
      <c r="H8" s="54">
        <f>SUM(F8:G8)</f>
        <v>312.5</v>
      </c>
      <c r="I8" s="259">
        <f>PRODUCT(D8,F8)</f>
        <v>1875</v>
      </c>
      <c r="J8" s="259">
        <f>PRODUCT(D8,G8)</f>
        <v>0</v>
      </c>
      <c r="K8" s="55">
        <f>PRODUCT(D8,H8)</f>
        <v>1875</v>
      </c>
    </row>
    <row r="9" spans="1:11" ht="15.75" x14ac:dyDescent="0.3">
      <c r="A9" s="179" t="s">
        <v>42</v>
      </c>
      <c r="B9" s="180" t="s">
        <v>162</v>
      </c>
      <c r="C9" s="56" t="s">
        <v>163</v>
      </c>
      <c r="D9" s="45">
        <f>ROUND('memória de cálculo'!N11,2)</f>
        <v>161.51</v>
      </c>
      <c r="E9" s="45" t="s">
        <v>12</v>
      </c>
      <c r="F9" s="47">
        <f>ROUND([1]Com_custo!$G$33287,2)</f>
        <v>12.2</v>
      </c>
      <c r="G9" s="47">
        <f>ROUND([1]Com_custo!$H$33287,2)</f>
        <v>31.23</v>
      </c>
      <c r="H9" s="54">
        <f t="shared" ref="H9:H14" si="0">SUM(F9:G9)</f>
        <v>43.43</v>
      </c>
      <c r="I9" s="259">
        <f t="shared" ref="I9:I13" si="1">PRODUCT(D9,F9)</f>
        <v>1970.4219999999998</v>
      </c>
      <c r="J9" s="259">
        <f t="shared" ref="J9:J14" si="2">PRODUCT(D9,G9)</f>
        <v>5043.9573</v>
      </c>
      <c r="K9" s="55">
        <f t="shared" ref="K9:K14" si="3">PRODUCT(D9,H9)</f>
        <v>7014.3792999999996</v>
      </c>
    </row>
    <row r="10" spans="1:11" ht="15.75" x14ac:dyDescent="0.3">
      <c r="A10" s="179" t="s">
        <v>43</v>
      </c>
      <c r="B10" s="182" t="s">
        <v>164</v>
      </c>
      <c r="C10" s="181" t="s">
        <v>165</v>
      </c>
      <c r="D10" s="45">
        <f>ROUND('memória de cálculo'!N14,2)</f>
        <v>323.02</v>
      </c>
      <c r="E10" s="45" t="s">
        <v>12</v>
      </c>
      <c r="F10" s="47">
        <f>ROUND([1]Com_custo!$G$29452,2)</f>
        <v>5.31</v>
      </c>
      <c r="G10" s="47">
        <f>ROUND([1]Com_custo!$H$29452,2)</f>
        <v>2.81</v>
      </c>
      <c r="H10" s="54">
        <f t="shared" si="0"/>
        <v>8.1199999999999992</v>
      </c>
      <c r="I10" s="259">
        <f t="shared" si="1"/>
        <v>1715.2361999999998</v>
      </c>
      <c r="J10" s="259">
        <f t="shared" si="2"/>
        <v>907.68619999999999</v>
      </c>
      <c r="K10" s="55">
        <f t="shared" si="3"/>
        <v>2622.9223999999995</v>
      </c>
    </row>
    <row r="11" spans="1:11" ht="15.75" x14ac:dyDescent="0.3">
      <c r="A11" s="179" t="s">
        <v>44</v>
      </c>
      <c r="B11" s="182" t="s">
        <v>166</v>
      </c>
      <c r="C11" s="181" t="s">
        <v>167</v>
      </c>
      <c r="D11" s="45">
        <v>2</v>
      </c>
      <c r="E11" s="45" t="s">
        <v>12</v>
      </c>
      <c r="F11" s="47">
        <f>ROUND([1]Com_custo!$G$2092,2)</f>
        <v>258.68</v>
      </c>
      <c r="G11" s="47">
        <f>ROUND([1]Com_custo!$H$2092,2)</f>
        <v>44.06</v>
      </c>
      <c r="H11" s="54">
        <f t="shared" si="0"/>
        <v>302.74</v>
      </c>
      <c r="I11" s="259">
        <f t="shared" si="1"/>
        <v>517.36</v>
      </c>
      <c r="J11" s="259">
        <f t="shared" si="2"/>
        <v>88.12</v>
      </c>
      <c r="K11" s="55">
        <f t="shared" si="3"/>
        <v>605.48</v>
      </c>
    </row>
    <row r="12" spans="1:11" ht="15.75" x14ac:dyDescent="0.3">
      <c r="A12" s="179" t="s">
        <v>45</v>
      </c>
      <c r="B12" s="182" t="s">
        <v>94</v>
      </c>
      <c r="C12" s="181" t="s">
        <v>99</v>
      </c>
      <c r="D12" s="45">
        <f>ROUND('memória de cálculo'!N23,21)</f>
        <v>197.1</v>
      </c>
      <c r="E12" s="45" t="s">
        <v>12</v>
      </c>
      <c r="F12" s="47">
        <v>0</v>
      </c>
      <c r="G12" s="47">
        <f>ROUND('composição propria'!H8,2)</f>
        <v>5.51</v>
      </c>
      <c r="H12" s="54">
        <f t="shared" si="0"/>
        <v>5.51</v>
      </c>
      <c r="I12" s="259">
        <f t="shared" si="1"/>
        <v>0</v>
      </c>
      <c r="J12" s="259">
        <f t="shared" si="2"/>
        <v>1086.021</v>
      </c>
      <c r="K12" s="55">
        <f t="shared" si="3"/>
        <v>1086.021</v>
      </c>
    </row>
    <row r="13" spans="1:11" ht="15.75" x14ac:dyDescent="0.3">
      <c r="A13" s="179" t="s">
        <v>46</v>
      </c>
      <c r="B13" s="182" t="s">
        <v>94</v>
      </c>
      <c r="C13" s="181" t="s">
        <v>101</v>
      </c>
      <c r="D13" s="45">
        <f>ROUND('memória de cálculo'!N26,2)</f>
        <v>1</v>
      </c>
      <c r="E13" s="45" t="s">
        <v>36</v>
      </c>
      <c r="F13" s="47">
        <f>ROUND('composição propria'!G21,2)</f>
        <v>477.04</v>
      </c>
      <c r="G13" s="47">
        <f>ROUND('composição propria'!H21,2)</f>
        <v>237.12</v>
      </c>
      <c r="H13" s="54">
        <f t="shared" si="0"/>
        <v>714.16000000000008</v>
      </c>
      <c r="I13" s="259">
        <f t="shared" si="1"/>
        <v>477.04</v>
      </c>
      <c r="J13" s="259">
        <f t="shared" si="2"/>
        <v>237.12</v>
      </c>
      <c r="K13" s="55">
        <f t="shared" si="3"/>
        <v>714.16000000000008</v>
      </c>
    </row>
    <row r="14" spans="1:11" ht="15.75" x14ac:dyDescent="0.3">
      <c r="A14" s="179" t="s">
        <v>47</v>
      </c>
      <c r="B14" s="182" t="s">
        <v>168</v>
      </c>
      <c r="C14" s="181" t="s">
        <v>169</v>
      </c>
      <c r="D14" s="45">
        <f>ROUND('memória de cálculo'!N29,2)</f>
        <v>1</v>
      </c>
      <c r="E14" s="45" t="s">
        <v>36</v>
      </c>
      <c r="F14" s="47">
        <f>ROUND([1]Com_custo!$G$15835,2)</f>
        <v>1110.52</v>
      </c>
      <c r="G14" s="47">
        <f>ROUND([1]Com_custo!$H$15835,2)</f>
        <v>245.68</v>
      </c>
      <c r="H14" s="54">
        <f t="shared" si="0"/>
        <v>1356.2</v>
      </c>
      <c r="I14" s="259">
        <f>PRODUCT(D14,F14)</f>
        <v>1110.52</v>
      </c>
      <c r="J14" s="259">
        <f t="shared" si="2"/>
        <v>245.68</v>
      </c>
      <c r="K14" s="55">
        <f t="shared" si="3"/>
        <v>1356.2</v>
      </c>
    </row>
    <row r="15" spans="1:11" ht="15.75" x14ac:dyDescent="0.3">
      <c r="A15" s="227"/>
      <c r="B15" s="228"/>
      <c r="C15" s="229" t="s">
        <v>176</v>
      </c>
      <c r="D15" s="230"/>
      <c r="E15" s="230"/>
      <c r="F15" s="231"/>
      <c r="G15" s="231"/>
      <c r="H15" s="232"/>
      <c r="I15" s="260">
        <f>SUM(I8:I14)</f>
        <v>7665.5781999999999</v>
      </c>
      <c r="J15" s="260">
        <f>SUM(J8:J14)</f>
        <v>7608.5844999999999</v>
      </c>
      <c r="K15" s="233">
        <f>SUM(K8:K14)</f>
        <v>15274.162700000001</v>
      </c>
    </row>
    <row r="16" spans="1:11" ht="15.75" x14ac:dyDescent="0.3">
      <c r="A16" s="43"/>
      <c r="B16" s="67"/>
      <c r="C16" s="44"/>
      <c r="D16" s="45"/>
      <c r="E16" s="45"/>
      <c r="F16" s="47"/>
      <c r="G16" s="47"/>
      <c r="H16" s="48"/>
      <c r="I16" s="258"/>
      <c r="J16" s="258"/>
      <c r="K16" s="49"/>
    </row>
    <row r="17" spans="1:11" ht="15.75" x14ac:dyDescent="0.3">
      <c r="A17" s="50" t="s">
        <v>48</v>
      </c>
      <c r="B17" s="178"/>
      <c r="C17" s="51" t="s">
        <v>177</v>
      </c>
      <c r="D17" s="45"/>
      <c r="E17" s="45"/>
      <c r="F17" s="47"/>
      <c r="G17" s="47"/>
      <c r="H17" s="48"/>
      <c r="I17" s="258"/>
      <c r="J17" s="258"/>
      <c r="K17" s="49"/>
    </row>
    <row r="18" spans="1:11" ht="15.75" x14ac:dyDescent="0.3">
      <c r="A18" s="43" t="s">
        <v>50</v>
      </c>
      <c r="B18" s="182" t="s">
        <v>171</v>
      </c>
      <c r="C18" s="183" t="s">
        <v>442</v>
      </c>
      <c r="D18" s="45">
        <f>ROUND('memória de cálculo'!N40,2)</f>
        <v>330</v>
      </c>
      <c r="E18" s="45" t="s">
        <v>97</v>
      </c>
      <c r="F18" s="47">
        <v>0</v>
      </c>
      <c r="G18" s="47">
        <v>99.68</v>
      </c>
      <c r="H18" s="54">
        <f t="shared" ref="H18:H19" si="4">SUM(F18:G18)</f>
        <v>99.68</v>
      </c>
      <c r="I18" s="259">
        <f t="shared" ref="I18:I19" si="5">PRODUCT(D18,F18)</f>
        <v>0</v>
      </c>
      <c r="J18" s="259">
        <f t="shared" ref="J18" si="6">PRODUCT(D18,G18)</f>
        <v>32894.400000000001</v>
      </c>
      <c r="K18" s="55">
        <f t="shared" ref="K18:K19" si="7">PRODUCT(D18,H18)</f>
        <v>32894.400000000001</v>
      </c>
    </row>
    <row r="19" spans="1:11" ht="15.75" x14ac:dyDescent="0.3">
      <c r="A19" s="43" t="s">
        <v>52</v>
      </c>
      <c r="B19" s="182" t="s">
        <v>172</v>
      </c>
      <c r="C19" s="183" t="s">
        <v>441</v>
      </c>
      <c r="D19" s="45">
        <f>ROUND('memória de cálculo'!N44,2)</f>
        <v>165</v>
      </c>
      <c r="E19" s="45" t="s">
        <v>97</v>
      </c>
      <c r="F19" s="47">
        <v>0</v>
      </c>
      <c r="G19" s="47">
        <v>41.63</v>
      </c>
      <c r="H19" s="54">
        <f t="shared" si="4"/>
        <v>41.63</v>
      </c>
      <c r="I19" s="259">
        <f t="shared" si="5"/>
        <v>0</v>
      </c>
      <c r="J19" s="259">
        <f>PRODUCT(D19,G19)</f>
        <v>6868.9500000000007</v>
      </c>
      <c r="K19" s="55">
        <f t="shared" si="7"/>
        <v>6868.9500000000007</v>
      </c>
    </row>
    <row r="20" spans="1:11" ht="15.75" x14ac:dyDescent="0.3">
      <c r="A20" s="227"/>
      <c r="B20" s="228"/>
      <c r="C20" s="229" t="s">
        <v>176</v>
      </c>
      <c r="D20" s="230"/>
      <c r="E20" s="230"/>
      <c r="F20" s="231"/>
      <c r="G20" s="231"/>
      <c r="H20" s="232"/>
      <c r="I20" s="260">
        <f>SUM(I18:I19)</f>
        <v>0</v>
      </c>
      <c r="J20" s="260">
        <f>SUM(J18:J19)</f>
        <v>39763.350000000006</v>
      </c>
      <c r="K20" s="233">
        <f>SUM(K18:K19)</f>
        <v>39763.350000000006</v>
      </c>
    </row>
    <row r="21" spans="1:11" ht="15.75" x14ac:dyDescent="0.3">
      <c r="A21" s="43"/>
      <c r="B21" s="67"/>
      <c r="C21" s="44"/>
      <c r="D21" s="45"/>
      <c r="E21" s="45"/>
      <c r="F21" s="47"/>
      <c r="G21" s="47"/>
      <c r="H21" s="48"/>
      <c r="I21" s="258"/>
      <c r="J21" s="258"/>
      <c r="K21" s="55"/>
    </row>
    <row r="22" spans="1:11" ht="15.75" x14ac:dyDescent="0.3">
      <c r="A22" s="50" t="s">
        <v>53</v>
      </c>
      <c r="B22" s="70"/>
      <c r="C22" s="51" t="s">
        <v>40</v>
      </c>
      <c r="D22" s="45"/>
      <c r="E22" s="45"/>
      <c r="F22" s="47"/>
      <c r="G22" s="47"/>
      <c r="H22" s="48"/>
      <c r="I22" s="258"/>
      <c r="J22" s="258"/>
      <c r="K22" s="49"/>
    </row>
    <row r="23" spans="1:11" ht="15.75" x14ac:dyDescent="0.3">
      <c r="A23" s="43" t="s">
        <v>54</v>
      </c>
      <c r="B23" s="67" t="s">
        <v>194</v>
      </c>
      <c r="C23" s="44" t="s">
        <v>84</v>
      </c>
      <c r="D23" s="46">
        <f>ROUND('memória de cálculo'!N59,2)</f>
        <v>186.74</v>
      </c>
      <c r="E23" s="46" t="s">
        <v>12</v>
      </c>
      <c r="F23" s="47">
        <v>0</v>
      </c>
      <c r="G23" s="47">
        <v>2.72</v>
      </c>
      <c r="H23" s="54">
        <f>SUM(F23:G23)</f>
        <v>2.72</v>
      </c>
      <c r="I23" s="259">
        <f t="shared" ref="I23:I28" si="8">PRODUCT(D23,F23)</f>
        <v>0</v>
      </c>
      <c r="J23" s="259">
        <f t="shared" ref="J23:J28" si="9">PRODUCT(D23,G23)</f>
        <v>507.93280000000004</v>
      </c>
      <c r="K23" s="55">
        <f t="shared" ref="K23:K28" si="10">PRODUCT(D23,H23)</f>
        <v>507.93280000000004</v>
      </c>
    </row>
    <row r="24" spans="1:11" ht="15.75" x14ac:dyDescent="0.3">
      <c r="A24" s="43" t="s">
        <v>55</v>
      </c>
      <c r="B24" s="67" t="s">
        <v>195</v>
      </c>
      <c r="C24" s="44" t="s">
        <v>13</v>
      </c>
      <c r="D24" s="46">
        <f>D23</f>
        <v>186.74</v>
      </c>
      <c r="E24" s="46" t="s">
        <v>12</v>
      </c>
      <c r="F24" s="47">
        <v>0</v>
      </c>
      <c r="G24" s="47">
        <v>4.95</v>
      </c>
      <c r="H24" s="54">
        <v>4.6500000000000004</v>
      </c>
      <c r="I24" s="259">
        <f t="shared" si="8"/>
        <v>0</v>
      </c>
      <c r="J24" s="259">
        <f t="shared" si="9"/>
        <v>924.36300000000006</v>
      </c>
      <c r="K24" s="55">
        <f t="shared" si="10"/>
        <v>868.34100000000012</v>
      </c>
    </row>
    <row r="25" spans="1:11" ht="15.75" x14ac:dyDescent="0.3">
      <c r="A25" s="43" t="s">
        <v>56</v>
      </c>
      <c r="B25" s="67" t="s">
        <v>194</v>
      </c>
      <c r="C25" s="44" t="s">
        <v>17</v>
      </c>
      <c r="D25" s="61">
        <f>ROUND('memória de cálculo'!N69,2)</f>
        <v>145.28</v>
      </c>
      <c r="E25" s="46" t="s">
        <v>12</v>
      </c>
      <c r="F25" s="47">
        <v>0</v>
      </c>
      <c r="G25" s="47">
        <v>2.72</v>
      </c>
      <c r="H25" s="54">
        <f t="shared" ref="H25:H64" si="11">SUM(F25:G25)</f>
        <v>2.72</v>
      </c>
      <c r="I25" s="259">
        <f t="shared" si="8"/>
        <v>0</v>
      </c>
      <c r="J25" s="259">
        <f t="shared" si="9"/>
        <v>395.16160000000002</v>
      </c>
      <c r="K25" s="55">
        <f t="shared" si="10"/>
        <v>395.16160000000002</v>
      </c>
    </row>
    <row r="26" spans="1:11" ht="15.75" x14ac:dyDescent="0.3">
      <c r="A26" s="43" t="s">
        <v>75</v>
      </c>
      <c r="B26" s="67" t="s">
        <v>94</v>
      </c>
      <c r="C26" s="44" t="s">
        <v>19</v>
      </c>
      <c r="D26" s="61">
        <f>ROUND('memória de cálculo'!N74,2)</f>
        <v>65.599999999999994</v>
      </c>
      <c r="E26" s="46" t="s">
        <v>12</v>
      </c>
      <c r="F26" s="47">
        <v>0</v>
      </c>
      <c r="G26" s="47">
        <f>ROUND('composição propria'!H25,2)</f>
        <v>11.02</v>
      </c>
      <c r="H26" s="54">
        <f t="shared" si="11"/>
        <v>11.02</v>
      </c>
      <c r="I26" s="259">
        <f t="shared" si="8"/>
        <v>0</v>
      </c>
      <c r="J26" s="259">
        <f t="shared" si="9"/>
        <v>722.91199999999992</v>
      </c>
      <c r="K26" s="55">
        <f t="shared" si="10"/>
        <v>722.91199999999992</v>
      </c>
    </row>
    <row r="27" spans="1:11" ht="15.75" x14ac:dyDescent="0.3">
      <c r="A27" s="43" t="s">
        <v>76</v>
      </c>
      <c r="B27" s="67" t="s">
        <v>94</v>
      </c>
      <c r="C27" s="44" t="s">
        <v>20</v>
      </c>
      <c r="D27" s="61">
        <f>ROUND('memória de cálculo'!N79,2)</f>
        <v>10.87</v>
      </c>
      <c r="E27" s="46" t="s">
        <v>12</v>
      </c>
      <c r="F27" s="47">
        <v>0</v>
      </c>
      <c r="G27" s="47">
        <f>ROUND('composição propria'!H29,2)</f>
        <v>14.47</v>
      </c>
      <c r="H27" s="54">
        <f t="shared" si="11"/>
        <v>14.47</v>
      </c>
      <c r="I27" s="259">
        <f t="shared" si="8"/>
        <v>0</v>
      </c>
      <c r="J27" s="259">
        <f t="shared" si="9"/>
        <v>157.28889999999998</v>
      </c>
      <c r="K27" s="55">
        <f t="shared" si="10"/>
        <v>157.28889999999998</v>
      </c>
    </row>
    <row r="28" spans="1:11" ht="15.75" x14ac:dyDescent="0.3">
      <c r="A28" s="43" t="s">
        <v>77</v>
      </c>
      <c r="B28" s="67" t="s">
        <v>94</v>
      </c>
      <c r="C28" s="44" t="s">
        <v>196</v>
      </c>
      <c r="D28" s="61">
        <f>ROUND('memória de cálculo'!N88,2)</f>
        <v>83.15</v>
      </c>
      <c r="E28" s="46" t="s">
        <v>12</v>
      </c>
      <c r="F28" s="47">
        <v>0</v>
      </c>
      <c r="G28" s="47">
        <f>ROUND('composição propria'!H33,2)</f>
        <v>20.67</v>
      </c>
      <c r="H28" s="54">
        <f t="shared" si="11"/>
        <v>20.67</v>
      </c>
      <c r="I28" s="259">
        <f t="shared" si="8"/>
        <v>0</v>
      </c>
      <c r="J28" s="259">
        <f t="shared" si="9"/>
        <v>1718.7105000000004</v>
      </c>
      <c r="K28" s="55">
        <f t="shared" si="10"/>
        <v>1718.7105000000004</v>
      </c>
    </row>
    <row r="29" spans="1:11" ht="15.75" x14ac:dyDescent="0.3">
      <c r="A29" s="227"/>
      <c r="B29" s="228"/>
      <c r="C29" s="229" t="s">
        <v>176</v>
      </c>
      <c r="D29" s="230"/>
      <c r="E29" s="230"/>
      <c r="F29" s="231"/>
      <c r="G29" s="231"/>
      <c r="H29" s="232"/>
      <c r="I29" s="260">
        <f>SUM(I23:I28)</f>
        <v>0</v>
      </c>
      <c r="J29" s="260">
        <f>SUM(J23:J28)</f>
        <v>4426.3688000000002</v>
      </c>
      <c r="K29" s="233">
        <f>SUM(K23:K28)</f>
        <v>4370.3468000000003</v>
      </c>
    </row>
    <row r="30" spans="1:11" ht="15.75" x14ac:dyDescent="0.3">
      <c r="A30" s="43"/>
      <c r="B30" s="67"/>
      <c r="C30" s="44"/>
      <c r="D30" s="61"/>
      <c r="E30" s="46"/>
      <c r="F30" s="47"/>
      <c r="G30" s="47"/>
      <c r="H30" s="54"/>
      <c r="I30" s="259"/>
      <c r="J30" s="259"/>
      <c r="K30" s="55"/>
    </row>
    <row r="31" spans="1:11" ht="15.75" x14ac:dyDescent="0.3">
      <c r="A31" s="50" t="s">
        <v>57</v>
      </c>
      <c r="B31" s="68"/>
      <c r="C31" s="51" t="s">
        <v>49</v>
      </c>
      <c r="D31" s="52"/>
      <c r="E31" s="45"/>
      <c r="F31" s="53"/>
      <c r="G31" s="53"/>
      <c r="H31" s="54"/>
      <c r="I31" s="259"/>
      <c r="J31" s="259"/>
      <c r="K31" s="55"/>
    </row>
    <row r="32" spans="1:11" ht="15" customHeight="1" x14ac:dyDescent="0.3">
      <c r="A32" s="43" t="s">
        <v>58</v>
      </c>
      <c r="B32" s="67" t="s">
        <v>94</v>
      </c>
      <c r="C32" s="56" t="s">
        <v>124</v>
      </c>
      <c r="D32" s="60">
        <f>ROUND('memória de cálculo'!N93,2)</f>
        <v>145.28</v>
      </c>
      <c r="E32" s="45" t="s">
        <v>12</v>
      </c>
      <c r="F32" s="53">
        <f>ROUND('composição propria'!G40,2)</f>
        <v>39.159999999999997</v>
      </c>
      <c r="G32" s="53">
        <f>ROUND('composição propria'!H40,2)</f>
        <v>27.56</v>
      </c>
      <c r="H32" s="54">
        <f>SUM(F32:G32)</f>
        <v>66.72</v>
      </c>
      <c r="I32" s="259">
        <f t="shared" ref="I32:I46" si="12">PRODUCT(D32,F32)</f>
        <v>5689.1647999999996</v>
      </c>
      <c r="J32" s="259">
        <f t="shared" ref="J32:J46" si="13">PRODUCT(D32,G32)</f>
        <v>4003.9168</v>
      </c>
      <c r="K32" s="175">
        <f t="shared" ref="K32:K38" si="14">ROUND(PRODUCT(D32,H32),2)</f>
        <v>9693.08</v>
      </c>
    </row>
    <row r="33" spans="1:11" ht="15.75" x14ac:dyDescent="0.3">
      <c r="A33" s="43" t="s">
        <v>59</v>
      </c>
      <c r="B33" s="67" t="s">
        <v>94</v>
      </c>
      <c r="C33" s="44" t="s">
        <v>215</v>
      </c>
      <c r="D33" s="60">
        <f>ROUND('memória de cálculo'!N96,2)</f>
        <v>145.28</v>
      </c>
      <c r="E33" s="45" t="s">
        <v>12</v>
      </c>
      <c r="F33" s="53">
        <f>ROUND('composição propria'!G46,2)</f>
        <v>3.13</v>
      </c>
      <c r="G33" s="53">
        <f>ROUND('composição propria'!H46,2)</f>
        <v>16.54</v>
      </c>
      <c r="H33" s="54">
        <f t="shared" si="11"/>
        <v>19.669999999999998</v>
      </c>
      <c r="I33" s="259">
        <f t="shared" si="12"/>
        <v>454.72640000000001</v>
      </c>
      <c r="J33" s="259">
        <f t="shared" si="13"/>
        <v>2402.9312</v>
      </c>
      <c r="K33" s="175">
        <f t="shared" si="14"/>
        <v>2857.66</v>
      </c>
    </row>
    <row r="34" spans="1:11" ht="15.75" x14ac:dyDescent="0.3">
      <c r="A34" s="43" t="s">
        <v>60</v>
      </c>
      <c r="B34" s="67" t="s">
        <v>94</v>
      </c>
      <c r="C34" s="44" t="s">
        <v>22</v>
      </c>
      <c r="D34" s="60">
        <f>ROUND('memória de cálculo'!N100,2)</f>
        <v>10.87</v>
      </c>
      <c r="E34" s="45" t="s">
        <v>12</v>
      </c>
      <c r="F34" s="53">
        <f>ROUND('composição propria'!G53,2)</f>
        <v>97.89</v>
      </c>
      <c r="G34" s="53">
        <f>ROUND('composição propria'!H53,2)</f>
        <v>48.98</v>
      </c>
      <c r="H34" s="54">
        <f t="shared" si="11"/>
        <v>146.87</v>
      </c>
      <c r="I34" s="259">
        <f t="shared" si="12"/>
        <v>1064.0643</v>
      </c>
      <c r="J34" s="259">
        <f t="shared" si="13"/>
        <v>532.41259999999988</v>
      </c>
      <c r="K34" s="175">
        <f t="shared" si="14"/>
        <v>1596.48</v>
      </c>
    </row>
    <row r="35" spans="1:11" ht="15.75" x14ac:dyDescent="0.3">
      <c r="A35" s="43" t="s">
        <v>79</v>
      </c>
      <c r="B35" s="67" t="s">
        <v>227</v>
      </c>
      <c r="C35" s="44" t="s">
        <v>226</v>
      </c>
      <c r="D35" s="60">
        <f>ROUND('memória de cálculo'!N104,2)</f>
        <v>145.28</v>
      </c>
      <c r="E35" s="45" t="s">
        <v>12</v>
      </c>
      <c r="F35" s="53">
        <f>ROUND([2]Com_custo!$G$5111,2)</f>
        <v>19.510000000000002</v>
      </c>
      <c r="G35" s="53">
        <f>ROUND([2]Com_custo!$H$5111,2)</f>
        <v>1.5</v>
      </c>
      <c r="H35" s="54">
        <f t="shared" si="11"/>
        <v>21.01</v>
      </c>
      <c r="I35" s="259">
        <f t="shared" si="12"/>
        <v>2834.4128000000001</v>
      </c>
      <c r="J35" s="259">
        <f t="shared" si="13"/>
        <v>217.92000000000002</v>
      </c>
      <c r="K35" s="175">
        <f t="shared" si="14"/>
        <v>3052.33</v>
      </c>
    </row>
    <row r="36" spans="1:11" ht="15.75" x14ac:dyDescent="0.3">
      <c r="A36" s="43" t="s">
        <v>80</v>
      </c>
      <c r="B36" s="67" t="s">
        <v>94</v>
      </c>
      <c r="C36" s="44" t="s">
        <v>444</v>
      </c>
      <c r="D36" s="52">
        <f>ROUND('memória de cálculo'!N108,2)</f>
        <v>145.28</v>
      </c>
      <c r="E36" s="45" t="s">
        <v>12</v>
      </c>
      <c r="F36" s="53">
        <f>ROUND('composição propria'!G60,2)</f>
        <v>39.159999999999997</v>
      </c>
      <c r="G36" s="53">
        <f>ROUND('composição propria'!H60,2)</f>
        <v>44.39</v>
      </c>
      <c r="H36" s="54">
        <f t="shared" si="11"/>
        <v>83.55</v>
      </c>
      <c r="I36" s="259">
        <f t="shared" si="12"/>
        <v>5689.1647999999996</v>
      </c>
      <c r="J36" s="259">
        <f t="shared" si="13"/>
        <v>6448.9791999999998</v>
      </c>
      <c r="K36" s="175">
        <f t="shared" si="14"/>
        <v>12138.14</v>
      </c>
    </row>
    <row r="37" spans="1:11" ht="15.75" x14ac:dyDescent="0.3">
      <c r="A37" s="43" t="s">
        <v>81</v>
      </c>
      <c r="B37" s="67" t="s">
        <v>230</v>
      </c>
      <c r="C37" s="44" t="s">
        <v>269</v>
      </c>
      <c r="D37" s="60">
        <f>ROUND('memória de cálculo'!N112,2)</f>
        <v>145.28</v>
      </c>
      <c r="E37" s="45" t="s">
        <v>12</v>
      </c>
      <c r="F37" s="53">
        <f>ROUND([2]Com_custo!$G$4713,2)</f>
        <v>1.64</v>
      </c>
      <c r="G37" s="53">
        <f>ROUND([2]Com_custo!$H$4713,2)</f>
        <v>2.75</v>
      </c>
      <c r="H37" s="54">
        <f t="shared" si="11"/>
        <v>4.3899999999999997</v>
      </c>
      <c r="I37" s="259">
        <f t="shared" si="12"/>
        <v>238.25919999999999</v>
      </c>
      <c r="J37" s="259">
        <f t="shared" si="13"/>
        <v>399.52</v>
      </c>
      <c r="K37" s="175">
        <f t="shared" si="14"/>
        <v>637.78</v>
      </c>
    </row>
    <row r="38" spans="1:11" ht="15.75" x14ac:dyDescent="0.3">
      <c r="A38" s="43" t="s">
        <v>82</v>
      </c>
      <c r="B38" s="67" t="s">
        <v>231</v>
      </c>
      <c r="C38" s="44" t="s">
        <v>232</v>
      </c>
      <c r="D38" s="60">
        <f>ROUND('memória de cálculo'!N115,2)</f>
        <v>31.98</v>
      </c>
      <c r="E38" s="234" t="s">
        <v>16</v>
      </c>
      <c r="F38" s="53">
        <f>ROUND([2]Com_custo!$G$5256,2)</f>
        <v>12.61</v>
      </c>
      <c r="G38" s="53">
        <f>ROUND([2]Com_custo!$H$5256,2)</f>
        <v>9.9600000000000009</v>
      </c>
      <c r="H38" s="54">
        <f t="shared" si="11"/>
        <v>22.57</v>
      </c>
      <c r="I38" s="259">
        <f t="shared" si="12"/>
        <v>403.26779999999997</v>
      </c>
      <c r="J38" s="259">
        <f t="shared" si="13"/>
        <v>318.52080000000001</v>
      </c>
      <c r="K38" s="175">
        <f t="shared" si="14"/>
        <v>721.79</v>
      </c>
    </row>
    <row r="39" spans="1:11" ht="15.75" x14ac:dyDescent="0.3">
      <c r="A39" s="43" t="s">
        <v>83</v>
      </c>
      <c r="B39" s="67" t="s">
        <v>94</v>
      </c>
      <c r="C39" s="44" t="s">
        <v>451</v>
      </c>
      <c r="D39" s="60">
        <f>ROUND('memória de cálculo'!N121,2)</f>
        <v>145.28</v>
      </c>
      <c r="E39" s="45" t="s">
        <v>12</v>
      </c>
      <c r="F39" s="53">
        <f>ROUND('composição propria'!G66,2)</f>
        <v>7.78</v>
      </c>
      <c r="G39" s="53">
        <f>ROUND('composição propria'!H66,2)</f>
        <v>10.56</v>
      </c>
      <c r="H39" s="54">
        <f t="shared" si="11"/>
        <v>18.34</v>
      </c>
      <c r="I39" s="259">
        <f t="shared" si="12"/>
        <v>1130.2784000000001</v>
      </c>
      <c r="J39" s="259">
        <f t="shared" si="13"/>
        <v>1534.1568</v>
      </c>
      <c r="K39" s="175">
        <f t="shared" ref="K39:K44" si="15">ROUND(PRODUCT(D39,H39),2)</f>
        <v>2664.44</v>
      </c>
    </row>
    <row r="40" spans="1:11" ht="15.75" x14ac:dyDescent="0.3">
      <c r="A40" s="43" t="s">
        <v>197</v>
      </c>
      <c r="B40" s="67" t="s">
        <v>94</v>
      </c>
      <c r="C40" s="44" t="s">
        <v>24</v>
      </c>
      <c r="D40" s="60">
        <f>ROUND('memória de cálculo'!N125,2)</f>
        <v>145.28</v>
      </c>
      <c r="E40" s="45" t="s">
        <v>12</v>
      </c>
      <c r="F40" s="53">
        <f>ROUND('composição propria'!G72,2)</f>
        <v>4.1399999999999997</v>
      </c>
      <c r="G40" s="53">
        <f>ROUND('composição propria'!H72,2)</f>
        <v>7.39</v>
      </c>
      <c r="H40" s="54">
        <f t="shared" si="11"/>
        <v>11.53</v>
      </c>
      <c r="I40" s="259">
        <f t="shared" si="12"/>
        <v>601.45920000000001</v>
      </c>
      <c r="J40" s="259">
        <f t="shared" si="13"/>
        <v>1073.6191999999999</v>
      </c>
      <c r="K40" s="175">
        <f t="shared" si="15"/>
        <v>1675.08</v>
      </c>
    </row>
    <row r="41" spans="1:11" ht="28.5" x14ac:dyDescent="0.3">
      <c r="A41" s="43" t="s">
        <v>245</v>
      </c>
      <c r="B41" s="216" t="s">
        <v>94</v>
      </c>
      <c r="C41" s="215" t="s">
        <v>14</v>
      </c>
      <c r="D41" s="430">
        <f>ROUND('memória de cálculo'!N132,2)</f>
        <v>186.74</v>
      </c>
      <c r="E41" s="431" t="s">
        <v>12</v>
      </c>
      <c r="F41" s="432">
        <f>ROUND('composição propria'!G82,2)</f>
        <v>29.95</v>
      </c>
      <c r="G41" s="432">
        <f>ROUND('composição propria'!H82,2)</f>
        <v>26.16</v>
      </c>
      <c r="H41" s="433">
        <f t="shared" si="11"/>
        <v>56.11</v>
      </c>
      <c r="I41" s="434">
        <f t="shared" si="12"/>
        <v>5592.8630000000003</v>
      </c>
      <c r="J41" s="434">
        <f t="shared" si="13"/>
        <v>4885.1184000000003</v>
      </c>
      <c r="K41" s="175">
        <f t="shared" si="15"/>
        <v>10477.98</v>
      </c>
    </row>
    <row r="42" spans="1:11" s="236" customFormat="1" ht="15.75" x14ac:dyDescent="0.3">
      <c r="A42" s="43" t="s">
        <v>246</v>
      </c>
      <c r="B42" s="216" t="s">
        <v>94</v>
      </c>
      <c r="C42" s="215" t="s">
        <v>446</v>
      </c>
      <c r="D42" s="430">
        <f>ROUND('memória de cálculo'!N144,2)</f>
        <v>186.74</v>
      </c>
      <c r="E42" s="431" t="s">
        <v>12</v>
      </c>
      <c r="F42" s="432">
        <f>ROUND('composição propria'!G89,2)</f>
        <v>11.2</v>
      </c>
      <c r="G42" s="432">
        <f>ROUND('composição propria'!H89,2)</f>
        <v>17.5</v>
      </c>
      <c r="H42" s="433">
        <f t="shared" si="11"/>
        <v>28.7</v>
      </c>
      <c r="I42" s="434">
        <f t="shared" si="12"/>
        <v>2091.4879999999998</v>
      </c>
      <c r="J42" s="434">
        <f t="shared" si="13"/>
        <v>3267.9500000000003</v>
      </c>
      <c r="K42" s="175">
        <f t="shared" si="15"/>
        <v>5359.44</v>
      </c>
    </row>
    <row r="43" spans="1:11" ht="15.75" x14ac:dyDescent="0.3">
      <c r="A43" s="43" t="s">
        <v>247</v>
      </c>
      <c r="B43" s="216" t="s">
        <v>94</v>
      </c>
      <c r="C43" s="44" t="s">
        <v>321</v>
      </c>
      <c r="D43" s="60">
        <f>ROUND('memória de cálculo'!N138,2)</f>
        <v>186.74</v>
      </c>
      <c r="E43" s="45" t="s">
        <v>12</v>
      </c>
      <c r="F43" s="53">
        <f>ROUND('composição propria'!G95,2)</f>
        <v>33.6</v>
      </c>
      <c r="G43" s="53">
        <f>ROUND('composição propria'!H95,2)</f>
        <v>21.13</v>
      </c>
      <c r="H43" s="54">
        <f t="shared" si="11"/>
        <v>54.730000000000004</v>
      </c>
      <c r="I43" s="259">
        <f t="shared" si="12"/>
        <v>6274.4640000000009</v>
      </c>
      <c r="J43" s="259">
        <f t="shared" si="13"/>
        <v>3945.8162000000002</v>
      </c>
      <c r="K43" s="175">
        <f t="shared" si="15"/>
        <v>10220.280000000001</v>
      </c>
    </row>
    <row r="44" spans="1:11" ht="15.75" x14ac:dyDescent="0.3">
      <c r="A44" s="43" t="s">
        <v>266</v>
      </c>
      <c r="B44" s="67" t="s">
        <v>263</v>
      </c>
      <c r="C44" s="44" t="s">
        <v>242</v>
      </c>
      <c r="D44" s="60">
        <f>ROUND('memória de cálculo'!N147,2)</f>
        <v>98.33</v>
      </c>
      <c r="E44" s="45" t="s">
        <v>16</v>
      </c>
      <c r="F44" s="53">
        <f>ROUND([2]Com_custo!$G$5323,2)</f>
        <v>30.85</v>
      </c>
      <c r="G44" s="53">
        <f>ROUND([2]Com_custo!$H$5323,2)</f>
        <v>7.05</v>
      </c>
      <c r="H44" s="54">
        <f t="shared" si="11"/>
        <v>37.9</v>
      </c>
      <c r="I44" s="259">
        <f t="shared" si="12"/>
        <v>3033.4805000000001</v>
      </c>
      <c r="J44" s="259">
        <f t="shared" si="13"/>
        <v>693.22649999999999</v>
      </c>
      <c r="K44" s="175">
        <f t="shared" si="15"/>
        <v>3726.71</v>
      </c>
    </row>
    <row r="45" spans="1:11" ht="15.75" x14ac:dyDescent="0.3">
      <c r="A45" s="43" t="s">
        <v>267</v>
      </c>
      <c r="B45" s="67" t="s">
        <v>264</v>
      </c>
      <c r="C45" s="44" t="s">
        <v>243</v>
      </c>
      <c r="D45" s="60">
        <f>ROUND('memória de cálculo'!N151,2)</f>
        <v>36.22</v>
      </c>
      <c r="E45" s="45" t="s">
        <v>16</v>
      </c>
      <c r="F45" s="53">
        <f>ROUND([2]Com_custo!$G$5354,2)</f>
        <v>22.73</v>
      </c>
      <c r="G45" s="53">
        <f>ROUND([2]Com_custo!$H$5354,2)</f>
        <v>4.74</v>
      </c>
      <c r="H45" s="54">
        <f t="shared" si="11"/>
        <v>27.47</v>
      </c>
      <c r="I45" s="259">
        <f t="shared" si="12"/>
        <v>823.28059999999994</v>
      </c>
      <c r="J45" s="259">
        <f t="shared" si="13"/>
        <v>171.68280000000001</v>
      </c>
      <c r="K45" s="175">
        <f t="shared" ref="K45:K57" si="16">ROUND(PRODUCT(D45,H45),2)</f>
        <v>994.96</v>
      </c>
    </row>
    <row r="46" spans="1:11" ht="15.75" x14ac:dyDescent="0.3">
      <c r="A46" s="43" t="s">
        <v>273</v>
      </c>
      <c r="B46" s="216" t="s">
        <v>94</v>
      </c>
      <c r="C46" s="44" t="s">
        <v>244</v>
      </c>
      <c r="D46" s="60">
        <f>ROUND('memória de cálculo'!N155,2)</f>
        <v>17.2</v>
      </c>
      <c r="E46" s="45" t="s">
        <v>16</v>
      </c>
      <c r="F46" s="53">
        <f>ROUND('composição propria'!G102,2)</f>
        <v>68.25</v>
      </c>
      <c r="G46" s="53">
        <f>ROUND('composição propria'!H102,2)</f>
        <v>36.74</v>
      </c>
      <c r="H46" s="54">
        <f t="shared" si="11"/>
        <v>104.99000000000001</v>
      </c>
      <c r="I46" s="259">
        <f t="shared" si="12"/>
        <v>1173.8999999999999</v>
      </c>
      <c r="J46" s="259">
        <f t="shared" si="13"/>
        <v>631.928</v>
      </c>
      <c r="K46" s="175">
        <f t="shared" si="16"/>
        <v>1805.83</v>
      </c>
    </row>
    <row r="47" spans="1:11" s="236" customFormat="1" ht="15.75" x14ac:dyDescent="0.3">
      <c r="A47" s="43" t="s">
        <v>445</v>
      </c>
      <c r="B47" s="216" t="s">
        <v>94</v>
      </c>
      <c r="C47" s="44" t="s">
        <v>422</v>
      </c>
      <c r="D47" s="60">
        <v>4</v>
      </c>
      <c r="E47" s="45" t="s">
        <v>15</v>
      </c>
      <c r="F47" s="53">
        <f>ROUND([3]Com_custo!$G$23839,2)</f>
        <v>115.19</v>
      </c>
      <c r="G47" s="53">
        <f>ROUND([3]Com_custo!$H$23839,2)</f>
        <v>211.84</v>
      </c>
      <c r="H47" s="54">
        <f>SUM(F47:G47)</f>
        <v>327.02999999999997</v>
      </c>
      <c r="I47" s="259">
        <f t="shared" ref="I47" si="17">PRODUCT(D47,F47)</f>
        <v>460.76</v>
      </c>
      <c r="J47" s="259">
        <f t="shared" ref="J47" si="18">PRODUCT(D47,G47)</f>
        <v>847.36</v>
      </c>
      <c r="K47" s="175">
        <f t="shared" ref="K47" si="19">ROUND(PRODUCT(D47,H47),2)</f>
        <v>1308.1199999999999</v>
      </c>
    </row>
    <row r="48" spans="1:11" ht="15.75" x14ac:dyDescent="0.3">
      <c r="A48" s="227"/>
      <c r="B48" s="228"/>
      <c r="C48" s="229" t="s">
        <v>176</v>
      </c>
      <c r="D48" s="230"/>
      <c r="E48" s="230"/>
      <c r="F48" s="231"/>
      <c r="G48" s="231"/>
      <c r="H48" s="232"/>
      <c r="I48" s="260">
        <f>SUM(I32:I47)</f>
        <v>37555.033800000005</v>
      </c>
      <c r="J48" s="260">
        <f>SUM(J32:J47)</f>
        <v>31375.058500000003</v>
      </c>
      <c r="K48" s="233">
        <f>SUM(K32:K46)</f>
        <v>67621.98</v>
      </c>
    </row>
    <row r="49" spans="1:11" ht="15.75" x14ac:dyDescent="0.3">
      <c r="A49" s="43"/>
      <c r="B49" s="216"/>
      <c r="C49" s="44"/>
      <c r="D49" s="60"/>
      <c r="E49" s="45"/>
      <c r="F49" s="53"/>
      <c r="G49" s="53"/>
      <c r="H49" s="54"/>
      <c r="I49" s="259"/>
      <c r="J49" s="259"/>
      <c r="K49" s="175"/>
    </row>
    <row r="50" spans="1:11" ht="15.75" x14ac:dyDescent="0.3">
      <c r="A50" s="50" t="s">
        <v>61</v>
      </c>
      <c r="B50" s="68"/>
      <c r="C50" s="51" t="s">
        <v>78</v>
      </c>
      <c r="D50" s="52"/>
      <c r="E50" s="45"/>
      <c r="F50" s="53"/>
      <c r="G50" s="53"/>
      <c r="H50" s="54"/>
      <c r="I50" s="259"/>
      <c r="J50" s="259"/>
      <c r="K50" s="55"/>
    </row>
    <row r="51" spans="1:11" ht="15.75" x14ac:dyDescent="0.3">
      <c r="A51" s="57" t="s">
        <v>62</v>
      </c>
      <c r="B51" s="67" t="s">
        <v>94</v>
      </c>
      <c r="C51" s="58" t="s">
        <v>25</v>
      </c>
      <c r="D51" s="60">
        <f>ROUND('memória de cálculo'!N166,2)</f>
        <v>83.15</v>
      </c>
      <c r="E51" s="45" t="s">
        <v>12</v>
      </c>
      <c r="F51" s="53">
        <v>0</v>
      </c>
      <c r="G51" s="53">
        <f>ROUND('composição propria'!H106,2)</f>
        <v>5.51</v>
      </c>
      <c r="H51" s="54">
        <f t="shared" si="11"/>
        <v>5.51</v>
      </c>
      <c r="I51" s="259">
        <f t="shared" ref="I51:I57" si="20">PRODUCT(D51,F51)</f>
        <v>0</v>
      </c>
      <c r="J51" s="259">
        <f t="shared" ref="J51:J57" si="21">PRODUCT(D51,G51)</f>
        <v>458.15649999999999</v>
      </c>
      <c r="K51" s="175">
        <f t="shared" si="16"/>
        <v>458.16</v>
      </c>
    </row>
    <row r="52" spans="1:11" ht="15.75" x14ac:dyDescent="0.3">
      <c r="A52" s="57" t="s">
        <v>63</v>
      </c>
      <c r="B52" s="67" t="s">
        <v>94</v>
      </c>
      <c r="C52" s="58" t="s">
        <v>30</v>
      </c>
      <c r="D52" s="65">
        <f>ROUND('memória de cálculo'!N173,2)</f>
        <v>63.6</v>
      </c>
      <c r="E52" s="45" t="s">
        <v>12</v>
      </c>
      <c r="F52" s="53">
        <f>ROUND('composição propria'!G113,2)</f>
        <v>19.579999999999998</v>
      </c>
      <c r="G52" s="53">
        <f>ROUND('composição propria'!H113,2)</f>
        <v>26.65</v>
      </c>
      <c r="H52" s="54">
        <f t="shared" si="11"/>
        <v>46.23</v>
      </c>
      <c r="I52" s="259">
        <f t="shared" si="20"/>
        <v>1245.288</v>
      </c>
      <c r="J52" s="259">
        <f t="shared" si="21"/>
        <v>1694.94</v>
      </c>
      <c r="K52" s="175">
        <f t="shared" si="16"/>
        <v>2940.23</v>
      </c>
    </row>
    <row r="53" spans="1:11" ht="15.75" x14ac:dyDescent="0.3">
      <c r="A53" s="57" t="s">
        <v>64</v>
      </c>
      <c r="B53" s="67" t="s">
        <v>94</v>
      </c>
      <c r="C53" s="58" t="s">
        <v>268</v>
      </c>
      <c r="D53" s="60">
        <f>ROUND('memória de cálculo'!N177,2)</f>
        <v>19.55</v>
      </c>
      <c r="E53" s="45" t="s">
        <v>12</v>
      </c>
      <c r="F53" s="53">
        <f>ROUND('composição propria'!G120,2)</f>
        <v>54.82</v>
      </c>
      <c r="G53" s="53">
        <f>ROUND('composição propria'!H120,2)</f>
        <v>43.74</v>
      </c>
      <c r="H53" s="54">
        <f t="shared" si="11"/>
        <v>98.56</v>
      </c>
      <c r="I53" s="259">
        <f t="shared" si="20"/>
        <v>1071.731</v>
      </c>
      <c r="J53" s="259">
        <f t="shared" si="21"/>
        <v>855.11700000000008</v>
      </c>
      <c r="K53" s="175">
        <f t="shared" si="16"/>
        <v>1926.85</v>
      </c>
    </row>
    <row r="54" spans="1:11" ht="15.75" x14ac:dyDescent="0.3">
      <c r="A54" s="57" t="s">
        <v>65</v>
      </c>
      <c r="B54" s="67" t="s">
        <v>94</v>
      </c>
      <c r="C54" s="58" t="s">
        <v>26</v>
      </c>
      <c r="D54" s="60">
        <f>ROUND('memória de cálculo'!N187,2)</f>
        <v>83.15</v>
      </c>
      <c r="E54" s="45" t="s">
        <v>12</v>
      </c>
      <c r="F54" s="53">
        <f>ROUND('composição propria'!G125,2)</f>
        <v>0.53</v>
      </c>
      <c r="G54" s="53">
        <f>ROUND('composição propria'!H125,2)</f>
        <v>6.89</v>
      </c>
      <c r="H54" s="54">
        <f t="shared" si="11"/>
        <v>7.42</v>
      </c>
      <c r="I54" s="259">
        <f t="shared" si="20"/>
        <v>44.069500000000005</v>
      </c>
      <c r="J54" s="259">
        <f t="shared" si="21"/>
        <v>572.90350000000001</v>
      </c>
      <c r="K54" s="175">
        <f t="shared" si="16"/>
        <v>616.97</v>
      </c>
    </row>
    <row r="55" spans="1:11" ht="15.75" x14ac:dyDescent="0.3">
      <c r="A55" s="57" t="s">
        <v>66</v>
      </c>
      <c r="B55" s="67" t="s">
        <v>230</v>
      </c>
      <c r="C55" s="58" t="s">
        <v>27</v>
      </c>
      <c r="D55" s="60">
        <f>ROUND('memória de cálculo'!N195,2)</f>
        <v>83.15</v>
      </c>
      <c r="E55" s="45" t="s">
        <v>12</v>
      </c>
      <c r="F55" s="53">
        <v>1.64</v>
      </c>
      <c r="G55" s="53">
        <v>2.75</v>
      </c>
      <c r="H55" s="54">
        <f t="shared" si="11"/>
        <v>4.3899999999999997</v>
      </c>
      <c r="I55" s="259">
        <f t="shared" si="20"/>
        <v>136.36600000000001</v>
      </c>
      <c r="J55" s="259">
        <f t="shared" si="21"/>
        <v>228.66250000000002</v>
      </c>
      <c r="K55" s="175">
        <f t="shared" si="16"/>
        <v>365.03</v>
      </c>
    </row>
    <row r="56" spans="1:11" ht="15.75" x14ac:dyDescent="0.3">
      <c r="A56" s="57" t="s">
        <v>67</v>
      </c>
      <c r="B56" s="69" t="s">
        <v>270</v>
      </c>
      <c r="C56" s="58" t="s">
        <v>28</v>
      </c>
      <c r="D56" s="60">
        <f>ROUND('memória de cálculo'!N203,2)</f>
        <v>83.15</v>
      </c>
      <c r="E56" s="45" t="s">
        <v>12</v>
      </c>
      <c r="F56" s="53">
        <f>ROUND([2]Com_custo!$G$29701,2)</f>
        <v>4.97</v>
      </c>
      <c r="G56" s="53">
        <f>ROUND([2]Com_custo!$H$29701,2)</f>
        <v>3.81</v>
      </c>
      <c r="H56" s="54">
        <f t="shared" si="11"/>
        <v>8.7799999999999994</v>
      </c>
      <c r="I56" s="259">
        <f t="shared" si="20"/>
        <v>413.25549999999998</v>
      </c>
      <c r="J56" s="259">
        <f t="shared" si="21"/>
        <v>316.80150000000003</v>
      </c>
      <c r="K56" s="175">
        <f t="shared" si="16"/>
        <v>730.06</v>
      </c>
    </row>
    <row r="57" spans="1:11" ht="15.75" x14ac:dyDescent="0.3">
      <c r="A57" s="57" t="s">
        <v>68</v>
      </c>
      <c r="B57" s="69" t="s">
        <v>271</v>
      </c>
      <c r="C57" s="58" t="s">
        <v>29</v>
      </c>
      <c r="D57" s="60">
        <f>ROUND('memória de cálculo'!N212,2)</f>
        <v>83.15</v>
      </c>
      <c r="E57" s="45" t="s">
        <v>12</v>
      </c>
      <c r="F57" s="53">
        <f>ROUND([2]Com_custo!$G$29650,2)</f>
        <v>8.94</v>
      </c>
      <c r="G57" s="53">
        <f>ROUND([2]Com_custo!$H$29650,2)</f>
        <v>11.44</v>
      </c>
      <c r="H57" s="54">
        <f t="shared" si="11"/>
        <v>20.38</v>
      </c>
      <c r="I57" s="259">
        <f t="shared" si="20"/>
        <v>743.36099999999999</v>
      </c>
      <c r="J57" s="259">
        <f t="shared" si="21"/>
        <v>951.23599999999999</v>
      </c>
      <c r="K57" s="175">
        <f t="shared" si="16"/>
        <v>1694.6</v>
      </c>
    </row>
    <row r="58" spans="1:11" ht="15.75" x14ac:dyDescent="0.3">
      <c r="A58" s="227"/>
      <c r="B58" s="228"/>
      <c r="C58" s="229" t="s">
        <v>176</v>
      </c>
      <c r="D58" s="230"/>
      <c r="E58" s="230"/>
      <c r="F58" s="231"/>
      <c r="G58" s="231"/>
      <c r="H58" s="232"/>
      <c r="I58" s="260">
        <f>SUM(I51:I57)</f>
        <v>3654.0709999999999</v>
      </c>
      <c r="J58" s="260">
        <f>SUM(J51:J57)</f>
        <v>5077.817</v>
      </c>
      <c r="K58" s="233">
        <f>SUM(K51:K57)</f>
        <v>8731.9</v>
      </c>
    </row>
    <row r="59" spans="1:11" ht="15.75" x14ac:dyDescent="0.3">
      <c r="A59" s="57"/>
      <c r="B59" s="69"/>
      <c r="C59" s="58"/>
      <c r="D59" s="60"/>
      <c r="E59" s="45"/>
      <c r="F59" s="53"/>
      <c r="G59" s="53"/>
      <c r="H59" s="54"/>
      <c r="I59" s="259"/>
      <c r="J59" s="259"/>
      <c r="K59" s="175"/>
    </row>
    <row r="60" spans="1:11" ht="15.75" x14ac:dyDescent="0.3">
      <c r="A60" s="50" t="s">
        <v>301</v>
      </c>
      <c r="B60" s="68"/>
      <c r="C60" s="51" t="s">
        <v>158</v>
      </c>
      <c r="D60" s="52"/>
      <c r="E60" s="45"/>
      <c r="F60" s="53"/>
      <c r="G60" s="53"/>
      <c r="H60" s="54"/>
      <c r="I60" s="259"/>
      <c r="J60" s="259"/>
      <c r="K60" s="55"/>
    </row>
    <row r="61" spans="1:11" ht="15" customHeight="1" x14ac:dyDescent="0.3">
      <c r="A61" s="43" t="s">
        <v>274</v>
      </c>
      <c r="B61" s="67" t="s">
        <v>94</v>
      </c>
      <c r="C61" s="56" t="s">
        <v>292</v>
      </c>
      <c r="D61" s="60">
        <f>ROUND('memória de cálculo'!N217,2)</f>
        <v>1</v>
      </c>
      <c r="E61" s="45" t="s">
        <v>276</v>
      </c>
      <c r="F61" s="53">
        <f>ROUND('composição propria'!G134,2)</f>
        <v>3691.2</v>
      </c>
      <c r="G61" s="53">
        <f>ROUND('composição propria'!H134,2)</f>
        <v>1351.24</v>
      </c>
      <c r="H61" s="54">
        <f t="shared" si="11"/>
        <v>5042.4399999999996</v>
      </c>
      <c r="I61" s="259">
        <f t="shared" ref="I61:I64" si="22">PRODUCT(D61,F61)</f>
        <v>3691.2</v>
      </c>
      <c r="J61" s="259">
        <f t="shared" ref="J61:J64" si="23">PRODUCT(D61,G61)</f>
        <v>1351.24</v>
      </c>
      <c r="K61" s="175">
        <f>ROUND(PRODUCT(D61,H61),2)</f>
        <v>5042.4399999999996</v>
      </c>
    </row>
    <row r="62" spans="1:11" ht="15.75" x14ac:dyDescent="0.3">
      <c r="A62" s="43" t="s">
        <v>282</v>
      </c>
      <c r="B62" s="67" t="s">
        <v>94</v>
      </c>
      <c r="C62" s="56" t="s">
        <v>281</v>
      </c>
      <c r="D62" s="60">
        <f>ROUND('memória de cálculo'!N221,2)</f>
        <v>1</v>
      </c>
      <c r="E62" s="45" t="s">
        <v>276</v>
      </c>
      <c r="F62" s="53">
        <v>0</v>
      </c>
      <c r="G62" s="53">
        <f>ROUND('composição propria'!H139,2)</f>
        <v>368.52</v>
      </c>
      <c r="H62" s="54">
        <f t="shared" si="11"/>
        <v>368.52</v>
      </c>
      <c r="I62" s="259">
        <f t="shared" si="22"/>
        <v>0</v>
      </c>
      <c r="J62" s="259">
        <f t="shared" si="23"/>
        <v>368.52</v>
      </c>
      <c r="K62" s="175">
        <f>ROUND(PRODUCT(D62,H62),2)</f>
        <v>368.52</v>
      </c>
    </row>
    <row r="63" spans="1:11" ht="15.75" x14ac:dyDescent="0.3">
      <c r="A63" s="43" t="s">
        <v>283</v>
      </c>
      <c r="B63" s="67" t="s">
        <v>290</v>
      </c>
      <c r="C63" s="56" t="s">
        <v>424</v>
      </c>
      <c r="D63" s="60">
        <f>ROUND('memória de cálculo'!N230,2)</f>
        <v>15</v>
      </c>
      <c r="E63" s="45" t="s">
        <v>276</v>
      </c>
      <c r="F63" s="53">
        <f>ROUND([3]Com_custo!$G$15648,2)</f>
        <v>122.15</v>
      </c>
      <c r="G63" s="53">
        <f>ROUND([3]Com_custo!$H$15648,2)</f>
        <v>41.46</v>
      </c>
      <c r="H63" s="54">
        <f t="shared" si="11"/>
        <v>163.61000000000001</v>
      </c>
      <c r="I63" s="259">
        <f t="shared" si="22"/>
        <v>1832.25</v>
      </c>
      <c r="J63" s="259">
        <f t="shared" si="23"/>
        <v>621.9</v>
      </c>
      <c r="K63" s="175">
        <f>ROUND(PRODUCT(D63,H63),2)</f>
        <v>2454.15</v>
      </c>
    </row>
    <row r="64" spans="1:11" ht="15.75" x14ac:dyDescent="0.3">
      <c r="A64" s="43" t="s">
        <v>294</v>
      </c>
      <c r="B64" s="67" t="s">
        <v>94</v>
      </c>
      <c r="C64" s="56" t="s">
        <v>425</v>
      </c>
      <c r="D64" s="60">
        <v>12</v>
      </c>
      <c r="E64" s="45" t="s">
        <v>276</v>
      </c>
      <c r="F64" s="53">
        <f>ROUND('composição propria'!G147,2)</f>
        <v>0</v>
      </c>
      <c r="G64" s="53">
        <f>ROUND('composição propria'!H147,2)</f>
        <v>30.71</v>
      </c>
      <c r="H64" s="54">
        <f t="shared" si="11"/>
        <v>30.71</v>
      </c>
      <c r="I64" s="259">
        <f t="shared" si="22"/>
        <v>0</v>
      </c>
      <c r="J64" s="259">
        <f t="shared" si="23"/>
        <v>368.52</v>
      </c>
      <c r="K64" s="175">
        <f>ROUND(PRODUCT(D64,H64),2)</f>
        <v>368.52</v>
      </c>
    </row>
    <row r="65" spans="1:11" ht="15.75" x14ac:dyDescent="0.3">
      <c r="A65" s="227"/>
      <c r="B65" s="228"/>
      <c r="C65" s="229" t="s">
        <v>176</v>
      </c>
      <c r="D65" s="230"/>
      <c r="E65" s="230"/>
      <c r="F65" s="231"/>
      <c r="G65" s="231"/>
      <c r="H65" s="232"/>
      <c r="I65" s="260">
        <f>SUM(I61:I64)</f>
        <v>5523.45</v>
      </c>
      <c r="J65" s="260">
        <f>SUM(J61:J64)</f>
        <v>2710.18</v>
      </c>
      <c r="K65" s="233">
        <f>SUM(K61:K64)</f>
        <v>8233.6299999999992</v>
      </c>
    </row>
    <row r="66" spans="1:11" ht="15.75" x14ac:dyDescent="0.3">
      <c r="A66" s="63"/>
      <c r="B66" s="67"/>
      <c r="C66" s="62"/>
      <c r="D66" s="60"/>
      <c r="E66" s="64"/>
      <c r="F66" s="176"/>
      <c r="G66" s="176"/>
      <c r="H66" s="54"/>
      <c r="I66" s="259"/>
      <c r="J66" s="259"/>
      <c r="K66" s="177"/>
    </row>
    <row r="67" spans="1:11" s="236" customFormat="1" ht="15.75" x14ac:dyDescent="0.3">
      <c r="A67" s="50" t="s">
        <v>426</v>
      </c>
      <c r="B67" s="68"/>
      <c r="C67" s="51" t="s">
        <v>430</v>
      </c>
      <c r="D67" s="52"/>
      <c r="E67" s="45"/>
      <c r="F67" s="53"/>
      <c r="G67" s="53"/>
      <c r="H67" s="54"/>
      <c r="I67" s="259"/>
      <c r="J67" s="259"/>
      <c r="K67" s="55"/>
    </row>
    <row r="68" spans="1:11" s="236" customFormat="1" ht="15.75" x14ac:dyDescent="0.3">
      <c r="A68" s="43" t="s">
        <v>427</v>
      </c>
      <c r="B68" s="67" t="s">
        <v>428</v>
      </c>
      <c r="C68" s="56" t="s">
        <v>438</v>
      </c>
      <c r="D68" s="60">
        <f>ROUND('memória de cálculo'!N239,2)</f>
        <v>96</v>
      </c>
      <c r="E68" s="60" t="s">
        <v>429</v>
      </c>
      <c r="F68" s="53">
        <v>18</v>
      </c>
      <c r="G68" s="53">
        <f>ROUND('composição propria'!H141,2)</f>
        <v>0</v>
      </c>
      <c r="H68" s="54">
        <f>SUM(F68:G68)</f>
        <v>18</v>
      </c>
      <c r="I68" s="259">
        <f>PRODUCT(D68,F68)</f>
        <v>1728</v>
      </c>
      <c r="J68" s="259">
        <f>PRODUCT(D68,G68)</f>
        <v>0</v>
      </c>
      <c r="K68" s="175">
        <f>ROUND(PRODUCT(D68,H68),2)</f>
        <v>1728</v>
      </c>
    </row>
    <row r="69" spans="1:11" s="236" customFormat="1" ht="15.75" x14ac:dyDescent="0.3">
      <c r="A69" s="43" t="s">
        <v>437</v>
      </c>
      <c r="B69" s="67" t="s">
        <v>435</v>
      </c>
      <c r="C69" s="56" t="s">
        <v>436</v>
      </c>
      <c r="D69" s="60">
        <f>ROUND('memória de cálculo'!N243,2)</f>
        <v>16</v>
      </c>
      <c r="E69" s="45" t="s">
        <v>12</v>
      </c>
      <c r="F69" s="53">
        <v>4.22</v>
      </c>
      <c r="G69" s="53">
        <f>ROUND('composição propria'!H142,2)</f>
        <v>0</v>
      </c>
      <c r="H69" s="54">
        <f>SUM(F69:G69)</f>
        <v>4.22</v>
      </c>
      <c r="I69" s="259">
        <f>PRODUCT(D69,F69)</f>
        <v>67.52</v>
      </c>
      <c r="J69" s="259">
        <f>PRODUCT(D69,G69)</f>
        <v>0</v>
      </c>
      <c r="K69" s="175">
        <f>ROUND(PRODUCT(D69,H69),2)</f>
        <v>67.52</v>
      </c>
    </row>
    <row r="70" spans="1:11" s="236" customFormat="1" ht="15.75" x14ac:dyDescent="0.3">
      <c r="A70" s="227"/>
      <c r="B70" s="228"/>
      <c r="C70" s="229" t="s">
        <v>176</v>
      </c>
      <c r="D70" s="230"/>
      <c r="E70" s="230"/>
      <c r="F70" s="231"/>
      <c r="G70" s="231"/>
      <c r="H70" s="232"/>
      <c r="I70" s="260">
        <f>SUM(I68:I69)</f>
        <v>1795.52</v>
      </c>
      <c r="J70" s="260">
        <f>SUM(J68:J69)</f>
        <v>0</v>
      </c>
      <c r="K70" s="233">
        <f>SUM(K68:K69)</f>
        <v>1795.52</v>
      </c>
    </row>
    <row r="71" spans="1:11" s="236" customFormat="1" ht="15.75" x14ac:dyDescent="0.3">
      <c r="A71" s="482"/>
      <c r="B71" s="482"/>
      <c r="C71" s="62"/>
      <c r="D71" s="483"/>
      <c r="E71" s="484"/>
      <c r="F71" s="485"/>
      <c r="G71" s="485"/>
      <c r="H71" s="486"/>
      <c r="I71" s="487"/>
      <c r="J71" s="487"/>
      <c r="K71" s="488"/>
    </row>
    <row r="72" spans="1:11" ht="15.75" customHeight="1" x14ac:dyDescent="0.3">
      <c r="A72" s="496" t="s">
        <v>318</v>
      </c>
      <c r="B72" s="496"/>
      <c r="C72" s="496"/>
      <c r="D72" s="496"/>
      <c r="E72" s="272"/>
      <c r="F72" s="273"/>
      <c r="G72" s="273"/>
      <c r="H72" s="274"/>
      <c r="I72" s="271"/>
      <c r="J72" s="271"/>
      <c r="K72" s="275">
        <f>SUM(K15,K20,K29,K48,K58,K65,K70)</f>
        <v>145790.88949999999</v>
      </c>
    </row>
    <row r="73" spans="1:11" ht="15.75" x14ac:dyDescent="0.3">
      <c r="A73" s="496" t="s">
        <v>421</v>
      </c>
      <c r="B73" s="496"/>
      <c r="C73" s="496"/>
      <c r="D73" s="496"/>
      <c r="E73" s="277"/>
      <c r="F73" s="278"/>
      <c r="G73" s="279"/>
      <c r="H73" s="279"/>
      <c r="I73" s="279"/>
      <c r="J73" s="279"/>
      <c r="K73" s="276">
        <f>K72*0.2441</f>
        <v>35587.556126949996</v>
      </c>
    </row>
    <row r="74" spans="1:11" ht="15.75" x14ac:dyDescent="0.3">
      <c r="A74" s="496" t="s">
        <v>319</v>
      </c>
      <c r="B74" s="496"/>
      <c r="C74" s="496"/>
      <c r="D74" s="496"/>
      <c r="E74" s="277"/>
      <c r="F74" s="278"/>
      <c r="G74" s="279"/>
      <c r="H74" s="279"/>
      <c r="I74" s="279"/>
      <c r="J74" s="279"/>
      <c r="K74" s="276">
        <f>SUM(K72:K73)</f>
        <v>181378.44562694998</v>
      </c>
    </row>
  </sheetData>
  <sheetProtection algorithmName="SHA-512" hashValue="GWBPBpi/m/XJrPztGDiyIX94QVPUSrshqPNceABp8z6j84osDOiUmSsALCK4ZRg4jJOKvGCW+qj/rZKvcKtg6g==" saltValue="lxfXq+h478q8/SHRZCAzVw==" spinCount="100000" sheet="1" objects="1" scenarios="1"/>
  <mergeCells count="7">
    <mergeCell ref="B1:C1"/>
    <mergeCell ref="H1:K3"/>
    <mergeCell ref="A73:D73"/>
    <mergeCell ref="A74:D74"/>
    <mergeCell ref="F5:H5"/>
    <mergeCell ref="I5:K5"/>
    <mergeCell ref="A72:D72"/>
  </mergeCells>
  <pageMargins left="0.51181102362204722" right="0.51181102362204722" top="0.78740157480314965" bottom="0.78740157480314965" header="0.31496062992125984" footer="0.31496062992125984"/>
  <pageSetup paperSize="9" scale="60" orientation="landscape" horizontalDpi="0" verticalDpi="0" r:id="rId1"/>
  <rowBreaks count="1" manualBreakCount="1">
    <brk id="48" max="10" man="1"/>
  </rowBreaks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AEED6-615C-40F7-987A-496F8A57A70D}">
  <dimension ref="A1:L23"/>
  <sheetViews>
    <sheetView zoomScaleNormal="100" workbookViewId="0">
      <selection activeCell="E31" sqref="E31"/>
    </sheetView>
  </sheetViews>
  <sheetFormatPr defaultRowHeight="15" x14ac:dyDescent="0.25"/>
  <cols>
    <col min="2" max="2" width="28.85546875" customWidth="1"/>
    <col min="3" max="3" width="10.42578125" customWidth="1"/>
    <col min="4" max="4" width="10" customWidth="1"/>
    <col min="5" max="5" width="11" customWidth="1"/>
    <col min="7" max="12" width="14.28515625" customWidth="1"/>
  </cols>
  <sheetData>
    <row r="1" spans="1:12" ht="15.75" customHeight="1" x14ac:dyDescent="0.25">
      <c r="A1" s="453"/>
      <c r="B1" s="518" t="s">
        <v>69</v>
      </c>
      <c r="C1" s="518"/>
      <c r="D1" s="518"/>
      <c r="E1" s="518"/>
      <c r="F1" s="518"/>
      <c r="G1" s="518"/>
      <c r="H1" s="509" t="s">
        <v>306</v>
      </c>
      <c r="I1" s="509"/>
      <c r="J1" s="509"/>
      <c r="K1" s="509"/>
      <c r="L1" s="510"/>
    </row>
    <row r="2" spans="1:12" x14ac:dyDescent="0.25">
      <c r="A2" s="454"/>
      <c r="B2" s="312" t="s">
        <v>322</v>
      </c>
      <c r="C2" s="312"/>
      <c r="D2" s="312"/>
      <c r="E2" s="312"/>
      <c r="F2" s="312"/>
      <c r="G2" s="312"/>
      <c r="H2" s="511"/>
      <c r="I2" s="511"/>
      <c r="J2" s="511"/>
      <c r="K2" s="511"/>
      <c r="L2" s="512"/>
    </row>
    <row r="3" spans="1:12" ht="15.75" thickBot="1" x14ac:dyDescent="0.3">
      <c r="A3" s="455"/>
      <c r="B3" s="313" t="s">
        <v>70</v>
      </c>
      <c r="C3" s="313"/>
      <c r="D3" s="313"/>
      <c r="E3" s="313"/>
      <c r="F3" s="313"/>
      <c r="G3" s="313"/>
      <c r="H3" s="513"/>
      <c r="I3" s="513"/>
      <c r="J3" s="513"/>
      <c r="K3" s="513"/>
      <c r="L3" s="514"/>
    </row>
    <row r="4" spans="1:12" x14ac:dyDescent="0.25">
      <c r="A4" s="456"/>
      <c r="B4" s="452"/>
      <c r="C4" s="452"/>
      <c r="D4" s="452"/>
      <c r="E4" s="452"/>
      <c r="F4" s="452"/>
      <c r="G4" s="452"/>
      <c r="H4" s="452"/>
      <c r="I4" s="452"/>
      <c r="J4" s="452"/>
      <c r="K4" s="452"/>
      <c r="L4" s="457"/>
    </row>
    <row r="5" spans="1:12" ht="15.75" x14ac:dyDescent="0.3">
      <c r="A5" s="458"/>
      <c r="B5" s="310"/>
      <c r="C5" s="515" t="s">
        <v>307</v>
      </c>
      <c r="D5" s="515" t="s">
        <v>308</v>
      </c>
      <c r="E5" s="515" t="s">
        <v>309</v>
      </c>
      <c r="F5" s="435" t="s">
        <v>310</v>
      </c>
      <c r="G5" s="516" t="s">
        <v>311</v>
      </c>
      <c r="H5" s="516"/>
      <c r="I5" s="516"/>
      <c r="J5" s="516"/>
      <c r="K5" s="516"/>
      <c r="L5" s="517"/>
    </row>
    <row r="6" spans="1:12" ht="15.75" x14ac:dyDescent="0.3">
      <c r="A6" s="459" t="s">
        <v>34</v>
      </c>
      <c r="B6" s="311" t="s">
        <v>312</v>
      </c>
      <c r="C6" s="515"/>
      <c r="D6" s="515"/>
      <c r="E6" s="515"/>
      <c r="F6" s="435" t="s">
        <v>313</v>
      </c>
      <c r="G6" s="309">
        <v>1</v>
      </c>
      <c r="H6" s="309">
        <v>2</v>
      </c>
      <c r="I6" s="309">
        <v>3</v>
      </c>
      <c r="J6" s="309">
        <v>4</v>
      </c>
      <c r="K6" s="309">
        <v>5</v>
      </c>
      <c r="L6" s="460">
        <v>6</v>
      </c>
    </row>
    <row r="7" spans="1:12" ht="15.75" x14ac:dyDescent="0.3">
      <c r="A7" s="461" t="s">
        <v>39</v>
      </c>
      <c r="B7" s="303" t="s">
        <v>159</v>
      </c>
      <c r="C7" s="304">
        <f>ROUND(Orçamento!K15,2)</f>
        <v>15274.16</v>
      </c>
      <c r="D7" s="305">
        <f>C7*0.2441</f>
        <v>3728.4224560000002</v>
      </c>
      <c r="E7" s="305">
        <f>SUM(C7,D7)</f>
        <v>19002.582456</v>
      </c>
      <c r="F7" s="306">
        <f>E7/E21</f>
        <v>0.10476758870187293</v>
      </c>
      <c r="G7" s="307">
        <f>E7</f>
        <v>19002.582456</v>
      </c>
      <c r="H7" s="308"/>
      <c r="I7" s="308"/>
      <c r="J7" s="308"/>
      <c r="K7" s="308"/>
      <c r="L7" s="462"/>
    </row>
    <row r="8" spans="1:12" ht="15.75" x14ac:dyDescent="0.3">
      <c r="A8" s="463"/>
      <c r="B8" s="237"/>
      <c r="C8" s="238"/>
      <c r="D8" s="240"/>
      <c r="E8" s="240"/>
      <c r="F8" s="241"/>
      <c r="G8" s="280">
        <f>G7/E7</f>
        <v>1</v>
      </c>
      <c r="H8" s="242"/>
      <c r="I8" s="242"/>
      <c r="J8" s="242"/>
      <c r="K8" s="242"/>
      <c r="L8" s="464"/>
    </row>
    <row r="9" spans="1:12" ht="15.75" x14ac:dyDescent="0.3">
      <c r="A9" s="463" t="s">
        <v>48</v>
      </c>
      <c r="B9" s="237" t="s">
        <v>193</v>
      </c>
      <c r="C9" s="238">
        <f>ROUND(Orçamento!K20,2)</f>
        <v>39763.35</v>
      </c>
      <c r="D9" s="240">
        <f>C9*0.2441</f>
        <v>9706.2337349999998</v>
      </c>
      <c r="E9" s="240">
        <f>SUM(C9,D9)</f>
        <v>49469.583735</v>
      </c>
      <c r="F9" s="241">
        <f>E9/E21</f>
        <v>0.27274235036222083</v>
      </c>
      <c r="G9" s="281">
        <f>E9/6</f>
        <v>8244.9306225</v>
      </c>
      <c r="H9" s="243">
        <f>E9/6</f>
        <v>8244.9306225</v>
      </c>
      <c r="I9" s="243">
        <f>E9/6</f>
        <v>8244.9306225</v>
      </c>
      <c r="J9" s="243">
        <f>E9/6</f>
        <v>8244.9306225</v>
      </c>
      <c r="K9" s="243">
        <f>E9/6</f>
        <v>8244.9306225</v>
      </c>
      <c r="L9" s="465">
        <f>E9/6</f>
        <v>8244.9306225</v>
      </c>
    </row>
    <row r="10" spans="1:12" ht="15.75" x14ac:dyDescent="0.3">
      <c r="A10" s="463"/>
      <c r="B10" s="237"/>
      <c r="C10" s="238"/>
      <c r="D10" s="240"/>
      <c r="E10" s="240"/>
      <c r="F10" s="241"/>
      <c r="G10" s="282">
        <f>G9/E9</f>
        <v>0.16666666666666666</v>
      </c>
      <c r="H10" s="244">
        <f>H9/E9</f>
        <v>0.16666666666666666</v>
      </c>
      <c r="I10" s="244">
        <f>I9/E9</f>
        <v>0.16666666666666666</v>
      </c>
      <c r="J10" s="242">
        <f>J9/E9</f>
        <v>0.16666666666666666</v>
      </c>
      <c r="K10" s="242">
        <f>K9/E9</f>
        <v>0.16666666666666666</v>
      </c>
      <c r="L10" s="464">
        <f>L9/E9</f>
        <v>0.16666666666666666</v>
      </c>
    </row>
    <row r="11" spans="1:12" ht="15.75" x14ac:dyDescent="0.3">
      <c r="A11" s="463" t="s">
        <v>53</v>
      </c>
      <c r="B11" s="237" t="s">
        <v>314</v>
      </c>
      <c r="C11" s="239">
        <f>ROUND(Orçamento!K29,2)</f>
        <v>4370.3500000000004</v>
      </c>
      <c r="D11" s="240">
        <f>C11*0.2441</f>
        <v>1066.8024350000001</v>
      </c>
      <c r="E11" s="240">
        <f>SUM(C11,D11)</f>
        <v>5437.152435</v>
      </c>
      <c r="F11" s="245">
        <f>E11/E21</f>
        <v>2.997683874486259E-2</v>
      </c>
      <c r="G11" s="298">
        <f>E11/2</f>
        <v>2718.5762175</v>
      </c>
      <c r="H11" s="299">
        <f>E11/2</f>
        <v>2718.5762175</v>
      </c>
      <c r="I11" s="246"/>
      <c r="J11" s="246"/>
      <c r="K11" s="246"/>
      <c r="L11" s="466"/>
    </row>
    <row r="12" spans="1:12" ht="15.75" x14ac:dyDescent="0.3">
      <c r="A12" s="467"/>
      <c r="B12" s="253"/>
      <c r="C12" s="238"/>
      <c r="D12" s="240"/>
      <c r="E12" s="240"/>
      <c r="F12" s="241"/>
      <c r="G12" s="301">
        <f>G11/E11</f>
        <v>0.5</v>
      </c>
      <c r="H12" s="302">
        <f>H11/E11</f>
        <v>0.5</v>
      </c>
      <c r="I12" s="247"/>
      <c r="J12" s="247"/>
      <c r="K12" s="247"/>
      <c r="L12" s="468"/>
    </row>
    <row r="13" spans="1:12" ht="15.75" x14ac:dyDescent="0.3">
      <c r="A13" s="467" t="s">
        <v>57</v>
      </c>
      <c r="B13" s="253" t="s">
        <v>49</v>
      </c>
      <c r="C13" s="238">
        <f>ROUND(Orçamento!K48,2)</f>
        <v>67621.98</v>
      </c>
      <c r="D13" s="240">
        <f>C13*0.2441</f>
        <v>16506.525318</v>
      </c>
      <c r="E13" s="240">
        <f>SUM(C13,D13)</f>
        <v>84128.505317999996</v>
      </c>
      <c r="F13" s="241">
        <f>E13/E21</f>
        <v>0.46382856980981457</v>
      </c>
      <c r="G13" s="283"/>
      <c r="H13" s="248"/>
      <c r="I13" s="300">
        <f>E13/3</f>
        <v>28042.835105999999</v>
      </c>
      <c r="J13" s="300">
        <f>E13/3</f>
        <v>28042.835105999999</v>
      </c>
      <c r="K13" s="300">
        <f>E13/3</f>
        <v>28042.835105999999</v>
      </c>
      <c r="L13" s="469"/>
    </row>
    <row r="14" spans="1:12" ht="15.75" x14ac:dyDescent="0.3">
      <c r="A14" s="467"/>
      <c r="B14" s="253"/>
      <c r="C14" s="238"/>
      <c r="D14" s="240"/>
      <c r="E14" s="240"/>
      <c r="F14" s="241"/>
      <c r="G14" s="284"/>
      <c r="H14" s="249"/>
      <c r="I14" s="302">
        <f>I13/E13</f>
        <v>0.33333333333333331</v>
      </c>
      <c r="J14" s="302">
        <f>J13/E13</f>
        <v>0.33333333333333331</v>
      </c>
      <c r="K14" s="302">
        <f>K13/E13</f>
        <v>0.33333333333333331</v>
      </c>
      <c r="L14" s="470"/>
    </row>
    <row r="15" spans="1:12" ht="15.75" x14ac:dyDescent="0.3">
      <c r="A15" s="467" t="s">
        <v>61</v>
      </c>
      <c r="B15" s="253" t="s">
        <v>78</v>
      </c>
      <c r="C15" s="238">
        <f>ROUND(Orçamento!K58,2)</f>
        <v>8731.9</v>
      </c>
      <c r="D15" s="240">
        <f>C15*0.2441</f>
        <v>2131.4567900000002</v>
      </c>
      <c r="E15" s="240">
        <f>SUM(C15,D15)</f>
        <v>10863.35679</v>
      </c>
      <c r="F15" s="241">
        <f>E15/E21</f>
        <v>5.989331706528439E-2</v>
      </c>
      <c r="G15" s="285"/>
      <c r="H15" s="250"/>
      <c r="I15" s="251"/>
      <c r="J15" s="251"/>
      <c r="K15" s="300">
        <f>E15/2</f>
        <v>5431.6783949999999</v>
      </c>
      <c r="L15" s="471">
        <f>E15/2</f>
        <v>5431.6783949999999</v>
      </c>
    </row>
    <row r="16" spans="1:12" ht="15.75" x14ac:dyDescent="0.3">
      <c r="A16" s="467"/>
      <c r="B16" s="253"/>
      <c r="C16" s="238"/>
      <c r="D16" s="240"/>
      <c r="E16" s="240"/>
      <c r="F16" s="241"/>
      <c r="G16" s="286"/>
      <c r="H16" s="252"/>
      <c r="I16" s="252"/>
      <c r="J16" s="252"/>
      <c r="K16" s="302">
        <f>K15/E15</f>
        <v>0.5</v>
      </c>
      <c r="L16" s="472">
        <f>L15/E15</f>
        <v>0.5</v>
      </c>
    </row>
    <row r="17" spans="1:12" ht="15.75" x14ac:dyDescent="0.3">
      <c r="A17" s="467" t="s">
        <v>301</v>
      </c>
      <c r="B17" s="253" t="s">
        <v>158</v>
      </c>
      <c r="C17" s="238">
        <f>ROUND(Orçamento!K65,2)</f>
        <v>8233.6299999999992</v>
      </c>
      <c r="D17" s="240">
        <f>C17*0.2441</f>
        <v>2009.8290829999999</v>
      </c>
      <c r="E17" s="240">
        <f>SUM(C17,D17)</f>
        <v>10243.459083</v>
      </c>
      <c r="F17" s="241">
        <f>E17/E21</f>
        <v>5.6475613805499092E-2</v>
      </c>
      <c r="G17" s="287"/>
      <c r="H17" s="251"/>
      <c r="I17" s="251"/>
      <c r="J17" s="251"/>
      <c r="K17" s="300">
        <f>E17/2</f>
        <v>5121.7295414999999</v>
      </c>
      <c r="L17" s="471">
        <f>E17/2</f>
        <v>5121.7295414999999</v>
      </c>
    </row>
    <row r="18" spans="1:12" ht="15.75" x14ac:dyDescent="0.3">
      <c r="A18" s="473"/>
      <c r="B18" s="288"/>
      <c r="C18" s="289"/>
      <c r="D18" s="290"/>
      <c r="E18" s="290"/>
      <c r="F18" s="291"/>
      <c r="G18" s="292"/>
      <c r="H18" s="293"/>
      <c r="I18" s="293"/>
      <c r="J18" s="293"/>
      <c r="K18" s="293">
        <f>K17/E17</f>
        <v>0.5</v>
      </c>
      <c r="L18" s="474">
        <f>L17/E17</f>
        <v>0.5</v>
      </c>
    </row>
    <row r="19" spans="1:12" s="236" customFormat="1" ht="15.75" x14ac:dyDescent="0.3">
      <c r="A19" s="467" t="s">
        <v>301</v>
      </c>
      <c r="B19" s="253" t="s">
        <v>430</v>
      </c>
      <c r="C19" s="238">
        <f>Orçamento!K70</f>
        <v>1795.52</v>
      </c>
      <c r="D19" s="240">
        <f>C19*0.2441</f>
        <v>438.28643199999999</v>
      </c>
      <c r="E19" s="240">
        <f>SUM(C19,D19)</f>
        <v>2233.8064319999999</v>
      </c>
      <c r="F19" s="241">
        <f>E19/E21</f>
        <v>1.2315721510445542E-2</v>
      </c>
      <c r="G19" s="287"/>
      <c r="H19" s="300">
        <f>E19/4</f>
        <v>558.45160799999996</v>
      </c>
      <c r="I19" s="300">
        <f>E19/4</f>
        <v>558.45160799999996</v>
      </c>
      <c r="J19" s="300">
        <f>E19/4</f>
        <v>558.45160799999996</v>
      </c>
      <c r="K19" s="300">
        <f>E19/4</f>
        <v>558.45160799999996</v>
      </c>
      <c r="L19" s="469"/>
    </row>
    <row r="20" spans="1:12" s="236" customFormat="1" ht="16.5" thickBot="1" x14ac:dyDescent="0.35">
      <c r="A20" s="473"/>
      <c r="B20" s="288"/>
      <c r="C20" s="289"/>
      <c r="D20" s="290"/>
      <c r="E20" s="290"/>
      <c r="F20" s="291"/>
      <c r="G20" s="292"/>
      <c r="H20" s="293"/>
      <c r="I20" s="293"/>
      <c r="J20" s="293"/>
      <c r="K20" s="293"/>
      <c r="L20" s="474"/>
    </row>
    <row r="21" spans="1:12" x14ac:dyDescent="0.25">
      <c r="A21" s="503"/>
      <c r="B21" s="506" t="s">
        <v>315</v>
      </c>
      <c r="C21" s="294">
        <f>SUM(C7:C18)</f>
        <v>143995.37</v>
      </c>
      <c r="D21" s="295">
        <f>SUM(D7:D17)</f>
        <v>35149.269817</v>
      </c>
      <c r="E21" s="295">
        <f>SUM(E7,E9,E11,E13,E15,E17,E19)</f>
        <v>181378.446249</v>
      </c>
      <c r="F21" s="296">
        <f>SUM(F7:F19)</f>
        <v>1</v>
      </c>
      <c r="G21" s="297"/>
      <c r="H21" s="297"/>
      <c r="I21" s="297"/>
      <c r="J21" s="297"/>
      <c r="K21" s="297"/>
      <c r="L21" s="475"/>
    </row>
    <row r="22" spans="1:12" x14ac:dyDescent="0.25">
      <c r="A22" s="504"/>
      <c r="B22" s="507"/>
      <c r="C22" s="257" t="s">
        <v>316</v>
      </c>
      <c r="D22" s="254"/>
      <c r="E22" s="254"/>
      <c r="F22" s="255"/>
      <c r="G22" s="256">
        <f>SUM(G7,G9,G11,G13,G15,G17)</f>
        <v>29966.089295999998</v>
      </c>
      <c r="H22" s="256">
        <f>SUM(H7,H9,H11,H13,H15,H17,H19)</f>
        <v>11521.958447999999</v>
      </c>
      <c r="I22" s="256">
        <f t="shared" ref="I22:K22" si="0">SUM(I7,I9,I11,I13,I15,I17,I19)</f>
        <v>36846.217336500005</v>
      </c>
      <c r="J22" s="256">
        <f t="shared" si="0"/>
        <v>36846.217336500005</v>
      </c>
      <c r="K22" s="256">
        <f t="shared" si="0"/>
        <v>47399.625273000005</v>
      </c>
      <c r="L22" s="476">
        <f t="shared" ref="H22:L22" si="1">SUM(L7,L9,L11,L13,L15,L17)</f>
        <v>18798.338559</v>
      </c>
    </row>
    <row r="23" spans="1:12" ht="15.75" thickBot="1" x14ac:dyDescent="0.3">
      <c r="A23" s="505"/>
      <c r="B23" s="508"/>
      <c r="C23" s="477" t="s">
        <v>317</v>
      </c>
      <c r="D23" s="478"/>
      <c r="E23" s="478"/>
      <c r="F23" s="479"/>
      <c r="G23" s="480">
        <f>G22</f>
        <v>29966.089295999998</v>
      </c>
      <c r="H23" s="480">
        <f>SUM(G23,H22)</f>
        <v>41488.047743999996</v>
      </c>
      <c r="I23" s="480">
        <f>SUM(H23,I22)</f>
        <v>78334.265080500001</v>
      </c>
      <c r="J23" s="480">
        <f>SUM(I23,J22)</f>
        <v>115180.48241700001</v>
      </c>
      <c r="K23" s="480">
        <f>SUM(J23,K22)</f>
        <v>162580.10769</v>
      </c>
      <c r="L23" s="481">
        <f>SUM(K23,L22)</f>
        <v>181378.446249</v>
      </c>
    </row>
  </sheetData>
  <sheetProtection algorithmName="SHA-512" hashValue="MSujuIjtTClKdB7xVeu+DeCSHfvObEzWapx1iO1Vbywa+Y5P3vxa9iTTVEvRPKwrbDqww/5Afp//GNIcDMFhVQ==" saltValue="dbp5BB5Wo5ZQUcfT8h9ZlQ==" spinCount="100000" sheet="1" objects="1" scenarios="1"/>
  <mergeCells count="10">
    <mergeCell ref="A21:A23"/>
    <mergeCell ref="B21:B23"/>
    <mergeCell ref="H1:L3"/>
    <mergeCell ref="C5:C6"/>
    <mergeCell ref="D5:D6"/>
    <mergeCell ref="E5:E6"/>
    <mergeCell ref="G5:L5"/>
    <mergeCell ref="B1:C1"/>
    <mergeCell ref="D1:E1"/>
    <mergeCell ref="F1:G1"/>
  </mergeCells>
  <pageMargins left="0.51181102362204722" right="0.51181102362204722" top="0.78740157480314965" bottom="0.78740157480314965" header="0.31496062992125984" footer="0.31496062992125984"/>
  <pageSetup paperSize="9" scale="80" orientation="landscape" horizontalDpi="0" verticalDpi="0" r:id="rId1"/>
  <ignoredErrors>
    <ignoredError sqref="G9:L1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57"/>
  <sheetViews>
    <sheetView topLeftCell="A46" workbookViewId="0">
      <selection activeCell="C72" sqref="C72"/>
    </sheetView>
  </sheetViews>
  <sheetFormatPr defaultRowHeight="15" x14ac:dyDescent="0.25"/>
  <cols>
    <col min="2" max="2" width="18.7109375" customWidth="1"/>
    <col min="3" max="3" width="87.85546875" customWidth="1"/>
  </cols>
  <sheetData>
    <row r="1" spans="1:9" x14ac:dyDescent="0.25">
      <c r="A1" s="521" t="s">
        <v>143</v>
      </c>
      <c r="B1" s="522"/>
      <c r="C1" s="522"/>
      <c r="D1" s="527" t="s">
        <v>85</v>
      </c>
      <c r="E1" s="527"/>
      <c r="F1" s="527"/>
      <c r="G1" s="527"/>
      <c r="H1" s="527"/>
      <c r="I1" s="528"/>
    </row>
    <row r="2" spans="1:9" x14ac:dyDescent="0.25">
      <c r="A2" s="523"/>
      <c r="B2" s="524"/>
      <c r="C2" s="524"/>
      <c r="D2" s="71"/>
      <c r="E2" s="529" t="s">
        <v>86</v>
      </c>
      <c r="F2" s="529"/>
      <c r="G2" s="529"/>
      <c r="H2" s="529"/>
      <c r="I2" s="530"/>
    </row>
    <row r="3" spans="1:9" ht="15.75" thickBot="1" x14ac:dyDescent="0.3">
      <c r="A3" s="525"/>
      <c r="B3" s="526"/>
      <c r="C3" s="526"/>
      <c r="D3" s="72"/>
      <c r="E3" s="531" t="s">
        <v>87</v>
      </c>
      <c r="F3" s="531"/>
      <c r="G3" s="531"/>
      <c r="H3" s="531"/>
      <c r="I3" s="532"/>
    </row>
    <row r="4" spans="1:9" x14ac:dyDescent="0.25">
      <c r="A4" s="533" t="s">
        <v>34</v>
      </c>
      <c r="B4" s="535" t="s">
        <v>88</v>
      </c>
      <c r="C4" s="537"/>
      <c r="D4" s="539" t="s">
        <v>89</v>
      </c>
      <c r="E4" s="541" t="s">
        <v>90</v>
      </c>
      <c r="F4" s="543" t="s">
        <v>91</v>
      </c>
      <c r="G4" s="519" t="s">
        <v>92</v>
      </c>
      <c r="H4" s="520"/>
      <c r="I4" s="73"/>
    </row>
    <row r="5" spans="1:9" x14ac:dyDescent="0.25">
      <c r="A5" s="534"/>
      <c r="B5" s="536"/>
      <c r="C5" s="538"/>
      <c r="D5" s="540"/>
      <c r="E5" s="542"/>
      <c r="F5" s="544"/>
      <c r="G5" s="74" t="s">
        <v>37</v>
      </c>
      <c r="H5" s="75" t="s">
        <v>93</v>
      </c>
      <c r="I5" s="76" t="s">
        <v>11</v>
      </c>
    </row>
    <row r="6" spans="1:9" ht="15.75" x14ac:dyDescent="0.3">
      <c r="A6" s="77" t="s">
        <v>45</v>
      </c>
      <c r="B6" s="78" t="s">
        <v>94</v>
      </c>
      <c r="C6" s="78" t="s">
        <v>99</v>
      </c>
      <c r="D6" s="79"/>
      <c r="E6" s="80"/>
      <c r="F6" s="81"/>
      <c r="G6" s="82"/>
      <c r="H6" s="82"/>
      <c r="I6" s="83"/>
    </row>
    <row r="7" spans="1:9" ht="15.75" x14ac:dyDescent="0.3">
      <c r="A7" s="84" t="s">
        <v>71</v>
      </c>
      <c r="B7" s="85" t="s">
        <v>100</v>
      </c>
      <c r="C7" s="86" t="s">
        <v>96</v>
      </c>
      <c r="D7" s="87">
        <v>0.4</v>
      </c>
      <c r="E7" s="88" t="s">
        <v>97</v>
      </c>
      <c r="F7" s="89">
        <v>13.78</v>
      </c>
      <c r="G7" s="90">
        <v>0</v>
      </c>
      <c r="H7" s="91">
        <f>IF($E7="h",$D7*$F7,0)</f>
        <v>5.5120000000000005</v>
      </c>
      <c r="I7" s="96"/>
    </row>
    <row r="8" spans="1:9" ht="15.75" x14ac:dyDescent="0.3">
      <c r="A8" s="84"/>
      <c r="B8" s="85"/>
      <c r="C8" s="97" t="s">
        <v>98</v>
      </c>
      <c r="D8" s="98">
        <v>1</v>
      </c>
      <c r="E8" s="99" t="s">
        <v>12</v>
      </c>
      <c r="F8" s="100"/>
      <c r="G8" s="95"/>
      <c r="H8" s="101">
        <f>SUM(H7:H7)</f>
        <v>5.5120000000000005</v>
      </c>
      <c r="I8" s="92"/>
    </row>
    <row r="9" spans="1:9" x14ac:dyDescent="0.25">
      <c r="A9" s="103"/>
    </row>
    <row r="10" spans="1:9" ht="15.75" x14ac:dyDescent="0.3">
      <c r="A10" s="77" t="s">
        <v>46</v>
      </c>
      <c r="B10" s="78" t="s">
        <v>94</v>
      </c>
      <c r="C10" s="78" t="s">
        <v>101</v>
      </c>
      <c r="D10" s="79"/>
      <c r="E10" s="80"/>
      <c r="F10" s="81"/>
      <c r="G10" s="82"/>
      <c r="H10" s="82"/>
      <c r="I10" s="83"/>
    </row>
    <row r="11" spans="1:9" ht="15.75" x14ac:dyDescent="0.3">
      <c r="A11" s="104" t="s">
        <v>72</v>
      </c>
      <c r="B11" s="105" t="s">
        <v>102</v>
      </c>
      <c r="C11" s="105" t="s">
        <v>103</v>
      </c>
      <c r="D11" s="106">
        <v>1</v>
      </c>
      <c r="E11" s="107" t="s">
        <v>15</v>
      </c>
      <c r="F11" s="108">
        <v>88.61</v>
      </c>
      <c r="G11" s="91">
        <f t="shared" ref="G11:G18" si="0">IF($E11="unid",$D11*$F11,0)</f>
        <v>88.61</v>
      </c>
      <c r="H11" s="109">
        <v>0</v>
      </c>
      <c r="I11" s="110"/>
    </row>
    <row r="12" spans="1:9" ht="15.75" x14ac:dyDescent="0.3">
      <c r="A12" s="104" t="s">
        <v>200</v>
      </c>
      <c r="B12" s="105" t="s">
        <v>104</v>
      </c>
      <c r="C12" s="105" t="s">
        <v>105</v>
      </c>
      <c r="D12" s="106">
        <v>8</v>
      </c>
      <c r="E12" s="107" t="s">
        <v>15</v>
      </c>
      <c r="F12" s="108">
        <v>7.53</v>
      </c>
      <c r="G12" s="91">
        <f t="shared" si="0"/>
        <v>60.24</v>
      </c>
      <c r="H12" s="109">
        <v>0</v>
      </c>
      <c r="I12" s="110"/>
    </row>
    <row r="13" spans="1:9" ht="15.75" x14ac:dyDescent="0.3">
      <c r="A13" s="104" t="s">
        <v>201</v>
      </c>
      <c r="B13" s="105" t="s">
        <v>106</v>
      </c>
      <c r="C13" s="105" t="s">
        <v>107</v>
      </c>
      <c r="D13" s="106">
        <v>2</v>
      </c>
      <c r="E13" s="107" t="s">
        <v>15</v>
      </c>
      <c r="F13" s="111">
        <v>4.22</v>
      </c>
      <c r="G13" s="91">
        <f t="shared" si="0"/>
        <v>8.44</v>
      </c>
      <c r="H13" s="109">
        <v>0</v>
      </c>
      <c r="I13" s="110"/>
    </row>
    <row r="14" spans="1:9" ht="15.75" x14ac:dyDescent="0.3">
      <c r="A14" s="104" t="s">
        <v>202</v>
      </c>
      <c r="B14" s="112" t="s">
        <v>108</v>
      </c>
      <c r="C14" s="105" t="s">
        <v>109</v>
      </c>
      <c r="D14" s="106">
        <v>0.15</v>
      </c>
      <c r="E14" s="107" t="s">
        <v>15</v>
      </c>
      <c r="F14" s="108">
        <v>14.05</v>
      </c>
      <c r="G14" s="91">
        <f t="shared" si="0"/>
        <v>2.1074999999999999</v>
      </c>
      <c r="H14" s="109">
        <v>0</v>
      </c>
      <c r="I14" s="110"/>
    </row>
    <row r="15" spans="1:9" ht="15.75" x14ac:dyDescent="0.3">
      <c r="A15" s="104" t="s">
        <v>203</v>
      </c>
      <c r="B15" s="112" t="s">
        <v>110</v>
      </c>
      <c r="C15" s="105" t="s">
        <v>111</v>
      </c>
      <c r="D15" s="106">
        <v>1</v>
      </c>
      <c r="E15" s="107" t="s">
        <v>15</v>
      </c>
      <c r="F15" s="108">
        <v>199.95</v>
      </c>
      <c r="G15" s="91">
        <f t="shared" si="0"/>
        <v>199.95</v>
      </c>
      <c r="H15" s="109">
        <v>0</v>
      </c>
      <c r="I15" s="110"/>
    </row>
    <row r="16" spans="1:9" ht="15.75" x14ac:dyDescent="0.3">
      <c r="A16" s="104" t="s">
        <v>204</v>
      </c>
      <c r="B16" s="112" t="s">
        <v>112</v>
      </c>
      <c r="C16" s="105" t="s">
        <v>113</v>
      </c>
      <c r="D16" s="106">
        <v>1</v>
      </c>
      <c r="E16" s="107" t="s">
        <v>15</v>
      </c>
      <c r="F16" s="108">
        <v>93.07</v>
      </c>
      <c r="G16" s="91">
        <f t="shared" si="0"/>
        <v>93.07</v>
      </c>
      <c r="H16" s="109">
        <v>0</v>
      </c>
      <c r="I16" s="110"/>
    </row>
    <row r="17" spans="1:9" ht="15.75" x14ac:dyDescent="0.3">
      <c r="A17" s="104" t="s">
        <v>205</v>
      </c>
      <c r="B17" s="112" t="s">
        <v>114</v>
      </c>
      <c r="C17" s="105" t="s">
        <v>115</v>
      </c>
      <c r="D17" s="106">
        <v>1</v>
      </c>
      <c r="E17" s="107" t="s">
        <v>15</v>
      </c>
      <c r="F17" s="108">
        <v>22.03</v>
      </c>
      <c r="G17" s="91">
        <f t="shared" si="0"/>
        <v>22.03</v>
      </c>
      <c r="H17" s="109">
        <v>0</v>
      </c>
      <c r="I17" s="110"/>
    </row>
    <row r="18" spans="1:9" ht="15.75" x14ac:dyDescent="0.3">
      <c r="A18" s="104" t="s">
        <v>206</v>
      </c>
      <c r="B18" s="112" t="s">
        <v>116</v>
      </c>
      <c r="C18" s="105" t="s">
        <v>117</v>
      </c>
      <c r="D18" s="106">
        <v>1</v>
      </c>
      <c r="E18" s="107" t="s">
        <v>15</v>
      </c>
      <c r="F18" s="108">
        <v>2.59</v>
      </c>
      <c r="G18" s="91">
        <f t="shared" si="0"/>
        <v>2.59</v>
      </c>
      <c r="H18" s="109">
        <v>0</v>
      </c>
      <c r="I18" s="110"/>
    </row>
    <row r="19" spans="1:9" ht="15.75" x14ac:dyDescent="0.3">
      <c r="A19" s="104" t="s">
        <v>207</v>
      </c>
      <c r="B19" s="112" t="s">
        <v>118</v>
      </c>
      <c r="C19" s="105" t="s">
        <v>119</v>
      </c>
      <c r="D19" s="106">
        <v>8</v>
      </c>
      <c r="E19" s="107" t="s">
        <v>97</v>
      </c>
      <c r="F19" s="108">
        <v>16.73</v>
      </c>
      <c r="G19" s="109">
        <v>0</v>
      </c>
      <c r="H19" s="113">
        <f>IF($E19="h",$D19*$F19,0)</f>
        <v>133.84</v>
      </c>
      <c r="I19" s="110"/>
    </row>
    <row r="20" spans="1:9" ht="15.75" x14ac:dyDescent="0.3">
      <c r="A20" s="104" t="s">
        <v>208</v>
      </c>
      <c r="B20" s="112" t="s">
        <v>120</v>
      </c>
      <c r="C20" s="105" t="s">
        <v>121</v>
      </c>
      <c r="D20" s="106">
        <v>8</v>
      </c>
      <c r="E20" s="107" t="s">
        <v>97</v>
      </c>
      <c r="F20" s="108">
        <v>12.91</v>
      </c>
      <c r="G20" s="109">
        <v>0</v>
      </c>
      <c r="H20" s="113">
        <f>IF($E20="h",$D20*$F20,0)</f>
        <v>103.28</v>
      </c>
      <c r="I20" s="110"/>
    </row>
    <row r="21" spans="1:9" ht="15.75" x14ac:dyDescent="0.3">
      <c r="A21" s="104"/>
      <c r="B21" s="112"/>
      <c r="C21" s="97" t="s">
        <v>98</v>
      </c>
      <c r="D21" s="94"/>
      <c r="E21" s="114"/>
      <c r="F21" s="100"/>
      <c r="G21" s="101">
        <f>SUM(G11:G18)</f>
        <v>477.03749999999997</v>
      </c>
      <c r="H21" s="101">
        <f>SUM(H11:H20)</f>
        <v>237.12</v>
      </c>
      <c r="I21" s="115">
        <f>SUM(G21,H21)</f>
        <v>714.15750000000003</v>
      </c>
    </row>
    <row r="22" spans="1:9" ht="15.75" x14ac:dyDescent="0.3">
      <c r="A22" s="104"/>
      <c r="B22" s="112"/>
      <c r="C22" s="93"/>
      <c r="D22" s="94"/>
      <c r="E22" s="88"/>
      <c r="F22" s="89"/>
      <c r="G22" s="95"/>
      <c r="H22" s="95"/>
      <c r="I22" s="201"/>
    </row>
    <row r="23" spans="1:9" ht="15.75" x14ac:dyDescent="0.3">
      <c r="A23" s="116" t="s">
        <v>75</v>
      </c>
      <c r="B23" s="117" t="s">
        <v>94</v>
      </c>
      <c r="C23" s="120" t="s">
        <v>19</v>
      </c>
      <c r="D23" s="119"/>
      <c r="E23" s="120"/>
      <c r="F23" s="121"/>
      <c r="G23" s="120"/>
      <c r="H23" s="120"/>
      <c r="I23" s="122"/>
    </row>
    <row r="24" spans="1:9" ht="15.75" x14ac:dyDescent="0.3">
      <c r="A24" s="123" t="s">
        <v>209</v>
      </c>
      <c r="B24" s="124" t="s">
        <v>100</v>
      </c>
      <c r="C24" s="85" t="s">
        <v>123</v>
      </c>
      <c r="D24" s="125">
        <v>0.8</v>
      </c>
      <c r="E24" s="126" t="s">
        <v>97</v>
      </c>
      <c r="F24" s="128">
        <v>13.78</v>
      </c>
      <c r="G24" s="129">
        <v>0</v>
      </c>
      <c r="H24" s="125">
        <f>PRODUCT(D24,F24)</f>
        <v>11.024000000000001</v>
      </c>
      <c r="I24" s="127"/>
    </row>
    <row r="25" spans="1:9" ht="15.75" x14ac:dyDescent="0.3">
      <c r="A25" s="130"/>
      <c r="B25" s="124"/>
      <c r="C25" s="97" t="s">
        <v>98</v>
      </c>
      <c r="D25" s="132">
        <v>1</v>
      </c>
      <c r="E25" s="133" t="s">
        <v>16</v>
      </c>
      <c r="F25" s="128"/>
      <c r="G25" s="126"/>
      <c r="H25" s="132">
        <f>SUM(H23:H24)</f>
        <v>11.024000000000001</v>
      </c>
      <c r="I25" s="134">
        <f>H25</f>
        <v>11.024000000000001</v>
      </c>
    </row>
    <row r="26" spans="1:9" ht="15.75" x14ac:dyDescent="0.3">
      <c r="A26" s="104"/>
      <c r="B26" s="112"/>
      <c r="C26" s="93"/>
      <c r="D26" s="94"/>
      <c r="E26" s="88"/>
      <c r="F26" s="89"/>
      <c r="G26" s="95"/>
      <c r="H26" s="95"/>
      <c r="I26" s="201"/>
    </row>
    <row r="27" spans="1:9" ht="15.75" x14ac:dyDescent="0.3">
      <c r="A27" s="116" t="s">
        <v>76</v>
      </c>
      <c r="B27" s="117" t="s">
        <v>94</v>
      </c>
      <c r="C27" s="120" t="s">
        <v>20</v>
      </c>
      <c r="D27" s="119"/>
      <c r="E27" s="120"/>
      <c r="F27" s="121"/>
      <c r="G27" s="120"/>
      <c r="H27" s="120"/>
      <c r="I27" s="122"/>
    </row>
    <row r="28" spans="1:9" ht="15.75" x14ac:dyDescent="0.3">
      <c r="A28" s="123" t="s">
        <v>210</v>
      </c>
      <c r="B28" s="124" t="s">
        <v>100</v>
      </c>
      <c r="C28" s="85" t="s">
        <v>123</v>
      </c>
      <c r="D28" s="125">
        <v>1.05</v>
      </c>
      <c r="E28" s="126" t="s">
        <v>97</v>
      </c>
      <c r="F28" s="128">
        <v>13.78</v>
      </c>
      <c r="G28" s="129">
        <v>0</v>
      </c>
      <c r="H28" s="125">
        <f>PRODUCT(D28,F28)</f>
        <v>14.468999999999999</v>
      </c>
      <c r="I28" s="127"/>
    </row>
    <row r="29" spans="1:9" ht="15.75" x14ac:dyDescent="0.3">
      <c r="A29" s="130"/>
      <c r="B29" s="124"/>
      <c r="C29" s="97" t="s">
        <v>98</v>
      </c>
      <c r="D29" s="132">
        <v>1</v>
      </c>
      <c r="E29" s="133" t="s">
        <v>12</v>
      </c>
      <c r="F29" s="128"/>
      <c r="G29" s="126"/>
      <c r="H29" s="132">
        <f>SUM(H27:H28)</f>
        <v>14.468999999999999</v>
      </c>
      <c r="I29" s="134">
        <f>H29</f>
        <v>14.468999999999999</v>
      </c>
    </row>
    <row r="30" spans="1:9" ht="15.75" x14ac:dyDescent="0.3">
      <c r="A30" s="104"/>
      <c r="B30" s="112"/>
      <c r="C30" s="93"/>
      <c r="D30" s="94"/>
      <c r="E30" s="88"/>
      <c r="F30" s="89"/>
      <c r="G30" s="95"/>
      <c r="H30" s="95"/>
      <c r="I30" s="201"/>
    </row>
    <row r="31" spans="1:9" ht="15.75" x14ac:dyDescent="0.3">
      <c r="A31" s="116" t="s">
        <v>77</v>
      </c>
      <c r="B31" s="117" t="s">
        <v>94</v>
      </c>
      <c r="C31" s="120" t="s">
        <v>196</v>
      </c>
      <c r="D31" s="119"/>
      <c r="E31" s="120"/>
      <c r="F31" s="121"/>
      <c r="G31" s="120"/>
      <c r="H31" s="120"/>
      <c r="I31" s="122"/>
    </row>
    <row r="32" spans="1:9" ht="15.75" x14ac:dyDescent="0.3">
      <c r="A32" s="123" t="s">
        <v>211</v>
      </c>
      <c r="B32" s="124" t="s">
        <v>100</v>
      </c>
      <c r="C32" s="85" t="s">
        <v>123</v>
      </c>
      <c r="D32" s="125">
        <v>1.5</v>
      </c>
      <c r="E32" s="126" t="s">
        <v>97</v>
      </c>
      <c r="F32" s="128">
        <v>13.78</v>
      </c>
      <c r="G32" s="129">
        <v>0</v>
      </c>
      <c r="H32" s="125">
        <f>PRODUCT(D32,F32)</f>
        <v>20.669999999999998</v>
      </c>
      <c r="I32" s="127"/>
    </row>
    <row r="33" spans="1:9" ht="15.75" x14ac:dyDescent="0.3">
      <c r="A33" s="130"/>
      <c r="B33" s="124"/>
      <c r="C33" s="97" t="s">
        <v>98</v>
      </c>
      <c r="D33" s="132">
        <v>1</v>
      </c>
      <c r="E33" s="133" t="s">
        <v>12</v>
      </c>
      <c r="F33" s="128"/>
      <c r="G33" s="126"/>
      <c r="H33" s="132">
        <f>SUM(H31:H32)</f>
        <v>20.669999999999998</v>
      </c>
      <c r="I33" s="134">
        <f>H33</f>
        <v>20.669999999999998</v>
      </c>
    </row>
    <row r="34" spans="1:9" ht="15.75" x14ac:dyDescent="0.3">
      <c r="A34" s="104"/>
      <c r="B34" s="112"/>
      <c r="C34" s="93"/>
      <c r="D34" s="94"/>
      <c r="E34" s="88"/>
      <c r="F34" s="89"/>
      <c r="G34" s="95"/>
      <c r="H34" s="95"/>
      <c r="I34" s="201"/>
    </row>
    <row r="35" spans="1:9" ht="15.75" x14ac:dyDescent="0.3">
      <c r="A35" s="116" t="s">
        <v>58</v>
      </c>
      <c r="B35" s="117" t="s">
        <v>94</v>
      </c>
      <c r="C35" s="120" t="s">
        <v>124</v>
      </c>
      <c r="D35" s="119"/>
      <c r="E35" s="120"/>
      <c r="F35" s="121"/>
      <c r="G35" s="120"/>
      <c r="H35" s="120"/>
      <c r="I35" s="122"/>
    </row>
    <row r="36" spans="1:9" ht="15.75" x14ac:dyDescent="0.3">
      <c r="A36" s="123"/>
      <c r="B36" s="85" t="s">
        <v>125</v>
      </c>
      <c r="C36" s="86" t="s">
        <v>126</v>
      </c>
      <c r="D36" s="135">
        <v>0.02</v>
      </c>
      <c r="E36" s="88" t="s">
        <v>21</v>
      </c>
      <c r="F36" s="89">
        <v>1957.78</v>
      </c>
      <c r="G36" s="91">
        <f>PRODUCT(D36,F36)</f>
        <v>39.1556</v>
      </c>
      <c r="H36" s="95">
        <f>IF($F36="h",$E36*$G36,0)</f>
        <v>0</v>
      </c>
      <c r="I36" s="96"/>
    </row>
    <row r="37" spans="1:9" ht="15.75" x14ac:dyDescent="0.3">
      <c r="A37" s="130"/>
      <c r="B37" s="102" t="s">
        <v>228</v>
      </c>
      <c r="C37" s="86" t="s">
        <v>234</v>
      </c>
      <c r="D37" s="135">
        <v>0.2</v>
      </c>
      <c r="E37" s="88" t="s">
        <v>97</v>
      </c>
      <c r="F37" s="89">
        <v>15.3</v>
      </c>
      <c r="G37" s="91">
        <v>0</v>
      </c>
      <c r="H37" s="95">
        <f>PRODUCT(D37,F37)</f>
        <v>3.0600000000000005</v>
      </c>
      <c r="I37" s="96"/>
    </row>
    <row r="38" spans="1:9" ht="15.75" x14ac:dyDescent="0.3">
      <c r="A38" s="104"/>
      <c r="B38" s="102" t="s">
        <v>229</v>
      </c>
      <c r="C38" s="136" t="s">
        <v>130</v>
      </c>
      <c r="D38" s="87">
        <v>0.8</v>
      </c>
      <c r="E38" s="88" t="s">
        <v>97</v>
      </c>
      <c r="F38" s="89">
        <v>16.84</v>
      </c>
      <c r="G38" s="91">
        <v>0</v>
      </c>
      <c r="H38" s="95">
        <f>PRODUCT(D38,F38)</f>
        <v>13.472000000000001</v>
      </c>
      <c r="I38" s="96"/>
    </row>
    <row r="39" spans="1:9" ht="15.75" x14ac:dyDescent="0.3">
      <c r="A39" s="104"/>
      <c r="B39" s="124" t="s">
        <v>100</v>
      </c>
      <c r="C39" s="85" t="s">
        <v>123</v>
      </c>
      <c r="D39" s="87">
        <v>0.8</v>
      </c>
      <c r="E39" s="88" t="s">
        <v>97</v>
      </c>
      <c r="F39" s="128">
        <v>13.78</v>
      </c>
      <c r="G39" s="91">
        <v>0</v>
      </c>
      <c r="H39" s="95">
        <f>PRODUCT(D39,F39)</f>
        <v>11.024000000000001</v>
      </c>
      <c r="I39" s="96"/>
    </row>
    <row r="40" spans="1:9" ht="15.75" x14ac:dyDescent="0.3">
      <c r="A40" s="104"/>
      <c r="B40" s="85"/>
      <c r="C40" s="137" t="s">
        <v>127</v>
      </c>
      <c r="D40" s="138">
        <v>1</v>
      </c>
      <c r="E40" s="139" t="s">
        <v>12</v>
      </c>
      <c r="F40" s="100"/>
      <c r="G40" s="140">
        <f>SUM(G36)</f>
        <v>39.1556</v>
      </c>
      <c r="H40" s="140">
        <f>SUM(H37,H39,H38,)</f>
        <v>27.556000000000004</v>
      </c>
      <c r="I40" s="141">
        <f>SUM(G40:H40)</f>
        <v>66.711600000000004</v>
      </c>
    </row>
    <row r="41" spans="1:9" ht="15.75" x14ac:dyDescent="0.3">
      <c r="A41" s="104"/>
      <c r="B41" s="112"/>
      <c r="C41" s="93"/>
      <c r="D41" s="94"/>
      <c r="E41" s="88"/>
      <c r="F41" s="89"/>
      <c r="G41" s="95"/>
      <c r="H41" s="95"/>
      <c r="I41" s="201"/>
    </row>
    <row r="42" spans="1:9" ht="15.75" x14ac:dyDescent="0.3">
      <c r="A42" s="116" t="s">
        <v>59</v>
      </c>
      <c r="B42" s="117" t="s">
        <v>94</v>
      </c>
      <c r="C42" s="120" t="s">
        <v>18</v>
      </c>
      <c r="D42" s="119"/>
      <c r="E42" s="120"/>
      <c r="F42" s="121"/>
      <c r="G42" s="120"/>
      <c r="H42" s="120"/>
      <c r="I42" s="122"/>
    </row>
    <row r="43" spans="1:9" ht="15.75" x14ac:dyDescent="0.3">
      <c r="A43" s="156" t="s">
        <v>212</v>
      </c>
      <c r="B43" s="152" t="s">
        <v>198</v>
      </c>
      <c r="C43" s="93" t="s">
        <v>199</v>
      </c>
      <c r="D43" s="87">
        <v>1.2</v>
      </c>
      <c r="E43" s="88" t="s">
        <v>97</v>
      </c>
      <c r="F43" s="202">
        <v>13.78</v>
      </c>
      <c r="G43" s="153">
        <f>IF($E43&lt;&gt;"h",$D43*$F43,0)</f>
        <v>0</v>
      </c>
      <c r="H43" s="203">
        <f>IF($E43="h",$D43*$F43,0)</f>
        <v>16.535999999999998</v>
      </c>
      <c r="I43" s="204"/>
    </row>
    <row r="44" spans="1:9" ht="15.75" x14ac:dyDescent="0.3">
      <c r="A44" s="156" t="s">
        <v>213</v>
      </c>
      <c r="B44" s="152" t="s">
        <v>131</v>
      </c>
      <c r="C44" s="86" t="s">
        <v>132</v>
      </c>
      <c r="D44" s="87">
        <v>0.25</v>
      </c>
      <c r="E44" s="88" t="s">
        <v>128</v>
      </c>
      <c r="F44" s="202">
        <v>3.68</v>
      </c>
      <c r="G44" s="203">
        <f>IF($E44="kg",$D44*$F44,0)</f>
        <v>0.92</v>
      </c>
      <c r="H44" s="153">
        <v>0</v>
      </c>
      <c r="I44" s="204"/>
    </row>
    <row r="45" spans="1:9" ht="15.75" x14ac:dyDescent="0.3">
      <c r="A45" s="156" t="s">
        <v>214</v>
      </c>
      <c r="B45" s="152" t="s">
        <v>134</v>
      </c>
      <c r="C45" s="86" t="s">
        <v>133</v>
      </c>
      <c r="D45" s="87">
        <v>0.1</v>
      </c>
      <c r="E45" s="88" t="s">
        <v>15</v>
      </c>
      <c r="F45" s="205">
        <f>ROUND('cotação de preço'!S3,2)</f>
        <v>22.06</v>
      </c>
      <c r="G45" s="203">
        <f>IF($E45="unid",$D45*$F45,0)</f>
        <v>2.206</v>
      </c>
      <c r="H45" s="153">
        <v>0</v>
      </c>
      <c r="I45" s="204"/>
    </row>
    <row r="46" spans="1:9" ht="15.75" x14ac:dyDescent="0.3">
      <c r="A46" s="156"/>
      <c r="B46" s="152"/>
      <c r="C46" s="97" t="s">
        <v>127</v>
      </c>
      <c r="D46" s="98"/>
      <c r="E46" s="99"/>
      <c r="F46" s="206"/>
      <c r="G46" s="207">
        <f>SUM(G44:G45)</f>
        <v>3.1259999999999999</v>
      </c>
      <c r="H46" s="207">
        <f>SUM(H43:H45)</f>
        <v>16.535999999999998</v>
      </c>
      <c r="I46" s="208">
        <f>SUM(G46:H46)</f>
        <v>19.661999999999999</v>
      </c>
    </row>
    <row r="47" spans="1:9" ht="15.75" x14ac:dyDescent="0.3">
      <c r="A47" s="104"/>
      <c r="B47" s="112"/>
      <c r="C47" s="93"/>
      <c r="D47" s="94"/>
      <c r="E47" s="88"/>
      <c r="F47" s="89"/>
      <c r="G47" s="95"/>
      <c r="H47" s="95"/>
      <c r="I47" s="201"/>
    </row>
    <row r="48" spans="1:9" ht="15.75" x14ac:dyDescent="0.3">
      <c r="A48" s="116" t="s">
        <v>60</v>
      </c>
      <c r="B48" s="117" t="s">
        <v>94</v>
      </c>
      <c r="C48" s="120" t="s">
        <v>22</v>
      </c>
      <c r="D48" s="119"/>
      <c r="E48" s="120"/>
      <c r="F48" s="121"/>
      <c r="G48" s="120"/>
      <c r="H48" s="120"/>
      <c r="I48" s="122"/>
    </row>
    <row r="49" spans="1:9" ht="15.75" x14ac:dyDescent="0.3">
      <c r="A49" s="123"/>
      <c r="B49" s="85" t="s">
        <v>125</v>
      </c>
      <c r="C49" s="86" t="s">
        <v>126</v>
      </c>
      <c r="D49" s="135">
        <v>0.05</v>
      </c>
      <c r="E49" s="88" t="s">
        <v>21</v>
      </c>
      <c r="F49" s="89">
        <v>1957.78</v>
      </c>
      <c r="G49" s="91">
        <f>PRODUCT(D49,F49)</f>
        <v>97.88900000000001</v>
      </c>
      <c r="H49" s="95">
        <f>IF($F49="h",$E49*$G49,0)</f>
        <v>0</v>
      </c>
      <c r="I49" s="96"/>
    </row>
    <row r="50" spans="1:9" ht="15.75" x14ac:dyDescent="0.3">
      <c r="A50" s="130"/>
      <c r="B50" s="102" t="s">
        <v>228</v>
      </c>
      <c r="C50" s="86" t="s">
        <v>234</v>
      </c>
      <c r="D50" s="135">
        <v>0.8</v>
      </c>
      <c r="E50" s="88" t="s">
        <v>97</v>
      </c>
      <c r="F50" s="89">
        <v>15.3</v>
      </c>
      <c r="G50" s="91">
        <v>0</v>
      </c>
      <c r="H50" s="95">
        <f>PRODUCT(D50,F50)</f>
        <v>12.240000000000002</v>
      </c>
      <c r="I50" s="96"/>
    </row>
    <row r="51" spans="1:9" ht="15.75" x14ac:dyDescent="0.3">
      <c r="A51" s="104"/>
      <c r="B51" s="102" t="s">
        <v>229</v>
      </c>
      <c r="C51" s="136" t="s">
        <v>130</v>
      </c>
      <c r="D51" s="87">
        <v>1.2</v>
      </c>
      <c r="E51" s="88" t="s">
        <v>97</v>
      </c>
      <c r="F51" s="89">
        <v>16.84</v>
      </c>
      <c r="G51" s="91">
        <v>0</v>
      </c>
      <c r="H51" s="95">
        <f>PRODUCT(D51,F51)</f>
        <v>20.207999999999998</v>
      </c>
      <c r="I51" s="96"/>
    </row>
    <row r="52" spans="1:9" ht="15.75" x14ac:dyDescent="0.3">
      <c r="A52" s="104"/>
      <c r="B52" s="124" t="s">
        <v>100</v>
      </c>
      <c r="C52" s="85" t="s">
        <v>123</v>
      </c>
      <c r="D52" s="87">
        <v>1.2</v>
      </c>
      <c r="E52" s="88" t="s">
        <v>97</v>
      </c>
      <c r="F52" s="128">
        <v>13.78</v>
      </c>
      <c r="G52" s="91">
        <v>0</v>
      </c>
      <c r="H52" s="95">
        <f>PRODUCT(D52,F52)</f>
        <v>16.535999999999998</v>
      </c>
      <c r="I52" s="96"/>
    </row>
    <row r="53" spans="1:9" ht="15.75" x14ac:dyDescent="0.3">
      <c r="A53" s="104"/>
      <c r="B53" s="85"/>
      <c r="C53" s="137" t="s">
        <v>127</v>
      </c>
      <c r="D53" s="138">
        <v>1</v>
      </c>
      <c r="E53" s="139" t="s">
        <v>12</v>
      </c>
      <c r="F53" s="100"/>
      <c r="G53" s="140">
        <f>SUM(G49)</f>
        <v>97.88900000000001</v>
      </c>
      <c r="H53" s="140">
        <f>SUM(H50,H52,H51,)</f>
        <v>48.983999999999995</v>
      </c>
      <c r="I53" s="141">
        <f>SUM(G53:H53)</f>
        <v>146.87299999999999</v>
      </c>
    </row>
    <row r="54" spans="1:9" ht="15.75" x14ac:dyDescent="0.3">
      <c r="A54" s="104"/>
      <c r="B54" s="112"/>
      <c r="C54" s="93"/>
      <c r="D54" s="94"/>
      <c r="E54" s="88"/>
      <c r="F54" s="89"/>
      <c r="G54" s="95"/>
      <c r="H54" s="95"/>
      <c r="I54" s="201"/>
    </row>
    <row r="55" spans="1:9" ht="15.75" x14ac:dyDescent="0.3">
      <c r="A55" s="116" t="s">
        <v>80</v>
      </c>
      <c r="B55" s="117" t="s">
        <v>94</v>
      </c>
      <c r="C55" s="120" t="s">
        <v>444</v>
      </c>
      <c r="D55" s="119"/>
      <c r="E55" s="120"/>
      <c r="F55" s="121"/>
      <c r="G55" s="120"/>
      <c r="H55" s="120"/>
      <c r="I55" s="122"/>
    </row>
    <row r="56" spans="1:9" ht="15.75" x14ac:dyDescent="0.3">
      <c r="A56" s="104"/>
      <c r="B56" s="85" t="s">
        <v>125</v>
      </c>
      <c r="C56" s="86" t="s">
        <v>126</v>
      </c>
      <c r="D56" s="135">
        <v>0.02</v>
      </c>
      <c r="E56" s="88" t="s">
        <v>21</v>
      </c>
      <c r="F56" s="89">
        <v>1957.78</v>
      </c>
      <c r="G56" s="91">
        <f>PRODUCT(D56,F56)</f>
        <v>39.1556</v>
      </c>
      <c r="H56" s="95">
        <f>IF($F56="h",$E56*$G56,0)</f>
        <v>0</v>
      </c>
      <c r="I56" s="96"/>
    </row>
    <row r="57" spans="1:9" ht="15.75" x14ac:dyDescent="0.3">
      <c r="A57" s="104"/>
      <c r="B57" s="102" t="s">
        <v>228</v>
      </c>
      <c r="C57" s="86" t="s">
        <v>234</v>
      </c>
      <c r="D57" s="135">
        <v>0.5</v>
      </c>
      <c r="E57" s="88" t="s">
        <v>97</v>
      </c>
      <c r="F57" s="89">
        <v>15.3</v>
      </c>
      <c r="G57" s="91">
        <v>0</v>
      </c>
      <c r="H57" s="95">
        <f>PRODUCT(D57,F57)</f>
        <v>7.65</v>
      </c>
      <c r="I57" s="96"/>
    </row>
    <row r="58" spans="1:9" ht="15.75" x14ac:dyDescent="0.3">
      <c r="A58" s="104"/>
      <c r="B58" s="102" t="s">
        <v>229</v>
      </c>
      <c r="C58" s="136" t="s">
        <v>130</v>
      </c>
      <c r="D58" s="87">
        <v>1.2</v>
      </c>
      <c r="E58" s="88" t="s">
        <v>97</v>
      </c>
      <c r="F58" s="89">
        <v>16.84</v>
      </c>
      <c r="G58" s="91">
        <v>0</v>
      </c>
      <c r="H58" s="95">
        <f>PRODUCT(D58,F58)</f>
        <v>20.207999999999998</v>
      </c>
      <c r="I58" s="96"/>
    </row>
    <row r="59" spans="1:9" ht="15.75" x14ac:dyDescent="0.3">
      <c r="A59" s="104"/>
      <c r="B59" s="124" t="s">
        <v>100</v>
      </c>
      <c r="C59" s="85" t="s">
        <v>123</v>
      </c>
      <c r="D59" s="125">
        <v>1.2</v>
      </c>
      <c r="E59" s="126" t="s">
        <v>97</v>
      </c>
      <c r="F59" s="128">
        <v>13.78</v>
      </c>
      <c r="G59" s="91">
        <v>0</v>
      </c>
      <c r="H59" s="95">
        <f>PRODUCT(D59,F59)</f>
        <v>16.535999999999998</v>
      </c>
      <c r="I59" s="96"/>
    </row>
    <row r="60" spans="1:9" ht="15.75" x14ac:dyDescent="0.3">
      <c r="A60" s="104"/>
      <c r="B60" s="85"/>
      <c r="C60" s="137" t="s">
        <v>127</v>
      </c>
      <c r="D60" s="138">
        <v>1</v>
      </c>
      <c r="E60" s="139" t="s">
        <v>12</v>
      </c>
      <c r="F60" s="100"/>
      <c r="G60" s="140">
        <f>SUM(G56)</f>
        <v>39.1556</v>
      </c>
      <c r="H60" s="140">
        <f>SUM(H57,H59,H58,)</f>
        <v>44.393999999999998</v>
      </c>
      <c r="I60" s="141">
        <f>SUM(G60:H60)</f>
        <v>83.549599999999998</v>
      </c>
    </row>
    <row r="61" spans="1:9" ht="15.75" x14ac:dyDescent="0.3">
      <c r="A61" s="104"/>
      <c r="B61" s="112"/>
      <c r="C61" s="93"/>
      <c r="D61" s="94"/>
      <c r="E61" s="88"/>
      <c r="F61" s="89"/>
      <c r="G61" s="95"/>
      <c r="H61" s="95"/>
      <c r="I61" s="201"/>
    </row>
    <row r="62" spans="1:9" s="236" customFormat="1" ht="15.75" x14ac:dyDescent="0.3">
      <c r="A62" s="217" t="s">
        <v>83</v>
      </c>
      <c r="B62" s="117" t="s">
        <v>94</v>
      </c>
      <c r="C62" s="235" t="s">
        <v>272</v>
      </c>
      <c r="D62" s="220"/>
      <c r="E62" s="221"/>
      <c r="F62" s="222"/>
      <c r="G62" s="223"/>
      <c r="H62" s="223"/>
      <c r="I62" s="224"/>
    </row>
    <row r="63" spans="1:9" s="236" customFormat="1" ht="15.75" x14ac:dyDescent="0.3">
      <c r="A63" s="104"/>
      <c r="B63" s="112" t="s">
        <v>449</v>
      </c>
      <c r="C63" s="93" t="s">
        <v>450</v>
      </c>
      <c r="D63" s="94">
        <v>7.2</v>
      </c>
      <c r="E63" s="88" t="s">
        <v>12</v>
      </c>
      <c r="F63" s="89">
        <v>1.08</v>
      </c>
      <c r="G63" s="95">
        <f>D63*F63</f>
        <v>7.7760000000000007</v>
      </c>
      <c r="H63" s="95"/>
      <c r="I63" s="201"/>
    </row>
    <row r="64" spans="1:9" s="236" customFormat="1" ht="15.75" x14ac:dyDescent="0.3">
      <c r="A64" s="104"/>
      <c r="B64" s="124" t="s">
        <v>100</v>
      </c>
      <c r="C64" s="93" t="s">
        <v>123</v>
      </c>
      <c r="D64" s="94">
        <v>0.4</v>
      </c>
      <c r="E64" s="88" t="s">
        <v>97</v>
      </c>
      <c r="F64" s="88">
        <v>13.78</v>
      </c>
      <c r="G64" s="95"/>
      <c r="H64" s="95">
        <f>D64*F64</f>
        <v>5.5120000000000005</v>
      </c>
      <c r="I64" s="201"/>
    </row>
    <row r="65" spans="1:9" s="236" customFormat="1" ht="15.75" x14ac:dyDescent="0.3">
      <c r="A65" s="104"/>
      <c r="B65" s="102" t="s">
        <v>229</v>
      </c>
      <c r="C65" s="93" t="s">
        <v>130</v>
      </c>
      <c r="D65" s="94">
        <v>0.3</v>
      </c>
      <c r="E65" s="88" t="s">
        <v>97</v>
      </c>
      <c r="F65" s="88">
        <v>16.84</v>
      </c>
      <c r="G65" s="95"/>
      <c r="H65" s="95">
        <f>D65*F65</f>
        <v>5.0519999999999996</v>
      </c>
      <c r="I65" s="201"/>
    </row>
    <row r="66" spans="1:9" s="236" customFormat="1" ht="15.75" x14ac:dyDescent="0.3">
      <c r="A66" s="104"/>
      <c r="B66" s="112"/>
      <c r="C66" s="137" t="s">
        <v>127</v>
      </c>
      <c r="D66" s="138">
        <v>1</v>
      </c>
      <c r="E66" s="139" t="s">
        <v>12</v>
      </c>
      <c r="F66" s="100"/>
      <c r="G66" s="140">
        <f>SUM(G63)</f>
        <v>7.7760000000000007</v>
      </c>
      <c r="H66" s="140">
        <f>SUM(H63,H65,H64,)</f>
        <v>10.564</v>
      </c>
      <c r="I66" s="141">
        <f>SUM(G66:H66)</f>
        <v>18.34</v>
      </c>
    </row>
    <row r="67" spans="1:9" s="236" customFormat="1" ht="15.75" x14ac:dyDescent="0.3">
      <c r="A67" s="104"/>
      <c r="B67" s="112"/>
      <c r="C67" s="93"/>
      <c r="D67" s="94"/>
      <c r="E67" s="88"/>
      <c r="F67" s="89"/>
      <c r="G67" s="95"/>
      <c r="H67" s="95"/>
      <c r="I67" s="201"/>
    </row>
    <row r="68" spans="1:9" ht="15.75" x14ac:dyDescent="0.3">
      <c r="A68" s="116" t="s">
        <v>197</v>
      </c>
      <c r="B68" s="117" t="s">
        <v>94</v>
      </c>
      <c r="C68" s="155" t="s">
        <v>24</v>
      </c>
      <c r="D68" s="119"/>
      <c r="E68" s="120"/>
      <c r="F68" s="121"/>
      <c r="G68" s="120"/>
      <c r="H68" s="120"/>
      <c r="I68" s="122"/>
    </row>
    <row r="69" spans="1:9" ht="15.75" x14ac:dyDescent="0.3">
      <c r="A69" s="104" t="s">
        <v>237</v>
      </c>
      <c r="B69" s="85" t="s">
        <v>122</v>
      </c>
      <c r="C69" s="86" t="s">
        <v>233</v>
      </c>
      <c r="D69" s="135">
        <v>0.18</v>
      </c>
      <c r="E69" s="88" t="s">
        <v>21</v>
      </c>
      <c r="F69" s="89">
        <f>ROUND('cotação de preço'!S4,2)</f>
        <v>23</v>
      </c>
      <c r="G69" s="91">
        <f>PRODUCT(D69,F69)</f>
        <v>4.1399999999999997</v>
      </c>
      <c r="H69" s="95">
        <f>IF($F69="h",$E69*$G69,0)</f>
        <v>0</v>
      </c>
      <c r="I69" s="96"/>
    </row>
    <row r="70" spans="1:9" ht="15.75" x14ac:dyDescent="0.3">
      <c r="A70" s="104" t="s">
        <v>238</v>
      </c>
      <c r="B70" s="102" t="s">
        <v>235</v>
      </c>
      <c r="C70" s="86" t="s">
        <v>129</v>
      </c>
      <c r="D70" s="135">
        <v>0.5</v>
      </c>
      <c r="E70" s="88" t="s">
        <v>97</v>
      </c>
      <c r="F70" s="89" t="s">
        <v>236</v>
      </c>
      <c r="G70" s="91">
        <v>0</v>
      </c>
      <c r="H70" s="95">
        <f>PRODUCT(D70,F70)</f>
        <v>0.5</v>
      </c>
      <c r="I70" s="96"/>
    </row>
    <row r="71" spans="1:9" ht="15.75" x14ac:dyDescent="0.3">
      <c r="A71" s="104" t="s">
        <v>239</v>
      </c>
      <c r="B71" s="124" t="s">
        <v>100</v>
      </c>
      <c r="C71" s="85" t="s">
        <v>123</v>
      </c>
      <c r="D71" s="125">
        <v>0.5</v>
      </c>
      <c r="E71" s="126" t="s">
        <v>97</v>
      </c>
      <c r="F71" s="128">
        <v>13.78</v>
      </c>
      <c r="G71" s="91">
        <v>0</v>
      </c>
      <c r="H71" s="95">
        <f>PRODUCT(D71,F71)</f>
        <v>6.89</v>
      </c>
      <c r="I71" s="96"/>
    </row>
    <row r="72" spans="1:9" ht="15.75" x14ac:dyDescent="0.3">
      <c r="A72" s="104"/>
      <c r="B72" s="85"/>
      <c r="C72" s="137" t="s">
        <v>127</v>
      </c>
      <c r="D72" s="138">
        <v>1</v>
      </c>
      <c r="E72" s="139" t="s">
        <v>12</v>
      </c>
      <c r="F72" s="100"/>
      <c r="G72" s="140">
        <f>SUM(G69)</f>
        <v>4.1399999999999997</v>
      </c>
      <c r="H72" s="140">
        <f>SUM(H70,H71)</f>
        <v>7.39</v>
      </c>
      <c r="I72" s="141">
        <f>SUM(G72:H72)</f>
        <v>11.53</v>
      </c>
    </row>
    <row r="73" spans="1:9" ht="15.75" x14ac:dyDescent="0.3">
      <c r="A73" s="104"/>
      <c r="B73" s="112"/>
      <c r="C73" s="93"/>
      <c r="D73" s="94"/>
      <c r="E73" s="88"/>
      <c r="F73" s="89"/>
      <c r="G73" s="95"/>
      <c r="H73" s="95"/>
      <c r="I73" s="201"/>
    </row>
    <row r="74" spans="1:9" ht="28.5" x14ac:dyDescent="0.3">
      <c r="A74" s="217" t="s">
        <v>245</v>
      </c>
      <c r="B74" s="218"/>
      <c r="C74" s="219" t="s">
        <v>14</v>
      </c>
      <c r="D74" s="220"/>
      <c r="E74" s="221"/>
      <c r="F74" s="222"/>
      <c r="G74" s="223"/>
      <c r="H74" s="223"/>
      <c r="I74" s="224"/>
    </row>
    <row r="75" spans="1:9" ht="15.75" x14ac:dyDescent="0.3">
      <c r="A75" s="104" t="s">
        <v>251</v>
      </c>
      <c r="B75" s="112" t="s">
        <v>135</v>
      </c>
      <c r="C75" s="93" t="s">
        <v>136</v>
      </c>
      <c r="D75" s="94">
        <v>6</v>
      </c>
      <c r="E75" s="88" t="s">
        <v>15</v>
      </c>
      <c r="F75" s="89">
        <v>2.77</v>
      </c>
      <c r="G75" s="95">
        <f>PRODUCT(D75,F75)</f>
        <v>16.62</v>
      </c>
      <c r="H75" s="95"/>
      <c r="I75" s="201"/>
    </row>
    <row r="76" spans="1:9" ht="15.75" x14ac:dyDescent="0.3">
      <c r="A76" s="104" t="s">
        <v>252</v>
      </c>
      <c r="B76" s="85" t="s">
        <v>122</v>
      </c>
      <c r="C76" s="93" t="s">
        <v>250</v>
      </c>
      <c r="D76" s="94">
        <v>0.24</v>
      </c>
      <c r="E76" s="88" t="s">
        <v>258</v>
      </c>
      <c r="F76" s="89">
        <f>ROUND('cotação de preço'!S5,2)</f>
        <v>36.9</v>
      </c>
      <c r="G76" s="95">
        <f t="shared" ref="G76:G77" si="1">PRODUCT(D76,F76)</f>
        <v>8.8559999999999999</v>
      </c>
      <c r="H76" s="95"/>
      <c r="I76" s="201"/>
    </row>
    <row r="77" spans="1:9" ht="15.75" x14ac:dyDescent="0.3">
      <c r="A77" s="104" t="s">
        <v>253</v>
      </c>
      <c r="B77" s="112" t="s">
        <v>249</v>
      </c>
      <c r="C77" s="93" t="s">
        <v>248</v>
      </c>
      <c r="D77" s="94">
        <v>0.18</v>
      </c>
      <c r="E77" s="88" t="s">
        <v>139</v>
      </c>
      <c r="F77" s="89">
        <v>24.87</v>
      </c>
      <c r="G77" s="95">
        <f t="shared" si="1"/>
        <v>4.4766000000000004</v>
      </c>
      <c r="H77" s="95"/>
      <c r="I77" s="201"/>
    </row>
    <row r="78" spans="1:9" ht="15.75" x14ac:dyDescent="0.3">
      <c r="A78" s="104" t="s">
        <v>254</v>
      </c>
      <c r="B78" s="102" t="s">
        <v>289</v>
      </c>
      <c r="C78" s="93" t="s">
        <v>288</v>
      </c>
      <c r="D78" s="94">
        <v>0.3</v>
      </c>
      <c r="E78" s="88" t="s">
        <v>97</v>
      </c>
      <c r="F78" s="89">
        <v>16.5</v>
      </c>
      <c r="G78" s="95"/>
      <c r="H78" s="95">
        <f>PRODUCT(D78,F78)</f>
        <v>4.95</v>
      </c>
      <c r="I78" s="201"/>
    </row>
    <row r="79" spans="1:9" ht="15.75" x14ac:dyDescent="0.3">
      <c r="A79" s="104" t="s">
        <v>255</v>
      </c>
      <c r="B79" s="102" t="s">
        <v>286</v>
      </c>
      <c r="C79" s="93" t="s">
        <v>287</v>
      </c>
      <c r="D79" s="94">
        <v>0.5</v>
      </c>
      <c r="E79" s="88" t="s">
        <v>97</v>
      </c>
      <c r="F79" s="89">
        <v>13.25</v>
      </c>
      <c r="G79" s="95"/>
      <c r="H79" s="95">
        <f t="shared" ref="H79:H81" si="2">PRODUCT(D79,F79)</f>
        <v>6.625</v>
      </c>
      <c r="I79" s="201"/>
    </row>
    <row r="80" spans="1:9" ht="15.75" x14ac:dyDescent="0.3">
      <c r="A80" s="104" t="s">
        <v>256</v>
      </c>
      <c r="B80" s="102" t="s">
        <v>235</v>
      </c>
      <c r="C80" s="86" t="s">
        <v>129</v>
      </c>
      <c r="D80" s="135">
        <v>0.8</v>
      </c>
      <c r="E80" s="88" t="s">
        <v>97</v>
      </c>
      <c r="F80" s="89" t="s">
        <v>236</v>
      </c>
      <c r="G80" s="95"/>
      <c r="H80" s="95">
        <f t="shared" si="2"/>
        <v>0.8</v>
      </c>
      <c r="I80" s="201"/>
    </row>
    <row r="81" spans="1:9" ht="15.75" x14ac:dyDescent="0.3">
      <c r="A81" s="104" t="s">
        <v>257</v>
      </c>
      <c r="B81" s="124" t="s">
        <v>100</v>
      </c>
      <c r="C81" s="85" t="s">
        <v>123</v>
      </c>
      <c r="D81" s="125">
        <v>1</v>
      </c>
      <c r="E81" s="126" t="s">
        <v>97</v>
      </c>
      <c r="F81" s="128">
        <v>13.78</v>
      </c>
      <c r="G81" s="95"/>
      <c r="H81" s="95">
        <f t="shared" si="2"/>
        <v>13.78</v>
      </c>
      <c r="I81" s="201"/>
    </row>
    <row r="82" spans="1:9" ht="15.75" x14ac:dyDescent="0.3">
      <c r="A82" s="104"/>
      <c r="B82" s="112"/>
      <c r="C82" s="137" t="s">
        <v>127</v>
      </c>
      <c r="D82" s="138">
        <v>1</v>
      </c>
      <c r="E82" s="139" t="s">
        <v>12</v>
      </c>
      <c r="F82" s="100"/>
      <c r="G82" s="140">
        <f>SUM(G75:G77)</f>
        <v>29.9526</v>
      </c>
      <c r="H82" s="140">
        <f>SUM(H78:H81,)</f>
        <v>26.155000000000001</v>
      </c>
      <c r="I82" s="141">
        <f>SUM(G82:H82)</f>
        <v>56.107600000000005</v>
      </c>
    </row>
    <row r="83" spans="1:9" ht="15.75" x14ac:dyDescent="0.3">
      <c r="A83" s="104"/>
      <c r="B83" s="112"/>
      <c r="C83" s="93"/>
      <c r="D83" s="94"/>
      <c r="E83" s="88"/>
      <c r="F83" s="89"/>
      <c r="G83" s="95"/>
      <c r="H83" s="95"/>
      <c r="I83" s="201"/>
    </row>
    <row r="84" spans="1:9" s="236" customFormat="1" ht="15.75" x14ac:dyDescent="0.3">
      <c r="A84" s="217" t="s">
        <v>246</v>
      </c>
      <c r="B84" s="218"/>
      <c r="C84" s="219" t="s">
        <v>446</v>
      </c>
      <c r="D84" s="220"/>
      <c r="E84" s="221"/>
      <c r="F84" s="222"/>
      <c r="G84" s="223"/>
      <c r="H84" s="223"/>
      <c r="I84" s="224"/>
    </row>
    <row r="85" spans="1:9" s="236" customFormat="1" ht="15.75" x14ac:dyDescent="0.3">
      <c r="A85" s="104" t="s">
        <v>260</v>
      </c>
      <c r="B85" s="85" t="s">
        <v>122</v>
      </c>
      <c r="C85" s="93" t="s">
        <v>447</v>
      </c>
      <c r="D85" s="94">
        <v>0.2</v>
      </c>
      <c r="E85" s="88" t="s">
        <v>128</v>
      </c>
      <c r="F85" s="89">
        <v>56</v>
      </c>
      <c r="G85" s="95">
        <f>PRODUCT(D85,F85)</f>
        <v>11.200000000000001</v>
      </c>
      <c r="H85" s="95"/>
      <c r="I85" s="201"/>
    </row>
    <row r="86" spans="1:9" s="236" customFormat="1" ht="15.75" x14ac:dyDescent="0.3">
      <c r="A86" s="104" t="s">
        <v>261</v>
      </c>
      <c r="B86" s="102" t="s">
        <v>229</v>
      </c>
      <c r="C86" s="136" t="s">
        <v>130</v>
      </c>
      <c r="D86" s="87">
        <v>0.5</v>
      </c>
      <c r="E86" s="88" t="s">
        <v>97</v>
      </c>
      <c r="F86" s="89">
        <v>16.84</v>
      </c>
      <c r="G86" s="95"/>
      <c r="H86" s="95">
        <f>PRODUCT(D86,F86)</f>
        <v>8.42</v>
      </c>
      <c r="I86" s="96"/>
    </row>
    <row r="87" spans="1:9" s="236" customFormat="1" ht="15.75" x14ac:dyDescent="0.3">
      <c r="A87" s="104" t="s">
        <v>262</v>
      </c>
      <c r="B87" s="102" t="s">
        <v>289</v>
      </c>
      <c r="C87" s="93" t="s">
        <v>288</v>
      </c>
      <c r="D87" s="94">
        <v>0.3</v>
      </c>
      <c r="E87" s="88" t="s">
        <v>97</v>
      </c>
      <c r="F87" s="89">
        <v>16.5</v>
      </c>
      <c r="G87" s="95"/>
      <c r="H87" s="95">
        <f t="shared" ref="H87:H88" si="3">PRODUCT(D87,F87)</f>
        <v>4.95</v>
      </c>
      <c r="I87" s="96"/>
    </row>
    <row r="88" spans="1:9" s="236" customFormat="1" ht="15.75" x14ac:dyDescent="0.3">
      <c r="A88" s="104" t="s">
        <v>448</v>
      </c>
      <c r="B88" s="124" t="s">
        <v>100</v>
      </c>
      <c r="C88" s="85" t="s">
        <v>123</v>
      </c>
      <c r="D88" s="125">
        <v>0.3</v>
      </c>
      <c r="E88" s="126" t="s">
        <v>97</v>
      </c>
      <c r="F88" s="128">
        <v>13.78</v>
      </c>
      <c r="G88" s="95"/>
      <c r="H88" s="95">
        <f t="shared" si="3"/>
        <v>4.1339999999999995</v>
      </c>
      <c r="I88" s="96"/>
    </row>
    <row r="89" spans="1:9" s="236" customFormat="1" ht="15.75" x14ac:dyDescent="0.3">
      <c r="A89" s="104"/>
      <c r="B89" s="85"/>
      <c r="C89" s="137" t="s">
        <v>127</v>
      </c>
      <c r="D89" s="138">
        <v>1</v>
      </c>
      <c r="E89" s="139" t="s">
        <v>12</v>
      </c>
      <c r="F89" s="100"/>
      <c r="G89" s="140">
        <f>SUM(G85)</f>
        <v>11.200000000000001</v>
      </c>
      <c r="H89" s="140">
        <f>SUM(H87,H88,H86,)</f>
        <v>17.503999999999998</v>
      </c>
      <c r="I89" s="141">
        <f>SUM(G89:H89)</f>
        <v>28.704000000000001</v>
      </c>
    </row>
    <row r="90" spans="1:9" s="236" customFormat="1" ht="15.75" x14ac:dyDescent="0.3">
      <c r="A90" s="104"/>
      <c r="B90" s="112"/>
      <c r="C90" s="93"/>
      <c r="D90" s="94"/>
      <c r="E90" s="88"/>
      <c r="F90" s="89"/>
      <c r="G90" s="95"/>
      <c r="H90" s="95"/>
      <c r="I90" s="201"/>
    </row>
    <row r="91" spans="1:9" ht="15.75" x14ac:dyDescent="0.3">
      <c r="A91" s="217" t="s">
        <v>246</v>
      </c>
      <c r="B91" s="218"/>
      <c r="C91" s="219" t="s">
        <v>241</v>
      </c>
      <c r="D91" s="220"/>
      <c r="E91" s="221"/>
      <c r="F91" s="222"/>
      <c r="G91" s="223"/>
      <c r="H91" s="223"/>
      <c r="I91" s="224"/>
    </row>
    <row r="92" spans="1:9" ht="15.75" x14ac:dyDescent="0.3">
      <c r="A92" s="104" t="s">
        <v>260</v>
      </c>
      <c r="B92" s="85" t="s">
        <v>122</v>
      </c>
      <c r="C92" s="93" t="s">
        <v>259</v>
      </c>
      <c r="D92" s="94">
        <v>1.05</v>
      </c>
      <c r="E92" s="88" t="s">
        <v>12</v>
      </c>
      <c r="F92" s="89">
        <f>ROUND('cotação de preço'!S6,2)</f>
        <v>32</v>
      </c>
      <c r="G92" s="95">
        <f>PRODUCT(D92,F92)</f>
        <v>33.6</v>
      </c>
      <c r="H92" s="95"/>
      <c r="I92" s="201"/>
    </row>
    <row r="93" spans="1:9" ht="15.75" x14ac:dyDescent="0.3">
      <c r="A93" s="104" t="s">
        <v>261</v>
      </c>
      <c r="B93" s="102" t="s">
        <v>229</v>
      </c>
      <c r="C93" s="136" t="s">
        <v>130</v>
      </c>
      <c r="D93" s="87">
        <v>0.6</v>
      </c>
      <c r="E93" s="88" t="s">
        <v>97</v>
      </c>
      <c r="F93" s="89">
        <v>16.84</v>
      </c>
      <c r="G93" s="91">
        <v>0</v>
      </c>
      <c r="H93" s="95">
        <f>PRODUCT(D93,F93)</f>
        <v>10.103999999999999</v>
      </c>
      <c r="I93" s="96"/>
    </row>
    <row r="94" spans="1:9" ht="15.75" x14ac:dyDescent="0.3">
      <c r="A94" s="104" t="s">
        <v>262</v>
      </c>
      <c r="B94" s="124" t="s">
        <v>100</v>
      </c>
      <c r="C94" s="85" t="s">
        <v>123</v>
      </c>
      <c r="D94" s="125">
        <v>0.8</v>
      </c>
      <c r="E94" s="126" t="s">
        <v>97</v>
      </c>
      <c r="F94" s="128">
        <v>13.78</v>
      </c>
      <c r="G94" s="91">
        <v>0</v>
      </c>
      <c r="H94" s="95">
        <f>PRODUCT(D94,F94)</f>
        <v>11.024000000000001</v>
      </c>
      <c r="I94" s="96"/>
    </row>
    <row r="95" spans="1:9" ht="15.75" x14ac:dyDescent="0.3">
      <c r="A95" s="104"/>
      <c r="B95" s="85"/>
      <c r="C95" s="137" t="s">
        <v>127</v>
      </c>
      <c r="D95" s="138">
        <v>1</v>
      </c>
      <c r="E95" s="139" t="s">
        <v>12</v>
      </c>
      <c r="F95" s="100"/>
      <c r="G95" s="140">
        <f>SUM(G92)</f>
        <v>33.6</v>
      </c>
      <c r="H95" s="140">
        <f>SUM(H92,H94,H93,)</f>
        <v>21.128</v>
      </c>
      <c r="I95" s="141">
        <f>SUM(G95:H95)</f>
        <v>54.728000000000002</v>
      </c>
    </row>
    <row r="96" spans="1:9" ht="15.75" x14ac:dyDescent="0.3">
      <c r="A96" s="104"/>
      <c r="B96" s="112"/>
      <c r="C96" s="93"/>
      <c r="D96" s="94"/>
      <c r="E96" s="88"/>
      <c r="F96" s="89"/>
      <c r="G96" s="95"/>
      <c r="H96" s="95"/>
      <c r="I96" s="201"/>
    </row>
    <row r="97" spans="1:9" ht="15.75" x14ac:dyDescent="0.3">
      <c r="A97" s="104"/>
      <c r="B97" s="112"/>
      <c r="C97" s="93"/>
      <c r="D97" s="94"/>
      <c r="E97" s="88"/>
      <c r="F97" s="89"/>
      <c r="G97" s="95"/>
      <c r="H97" s="95"/>
      <c r="I97" s="201"/>
    </row>
    <row r="98" spans="1:9" ht="15.75" x14ac:dyDescent="0.3">
      <c r="A98" s="217" t="s">
        <v>273</v>
      </c>
      <c r="B98" s="218"/>
      <c r="C98" s="219" t="s">
        <v>244</v>
      </c>
      <c r="D98" s="220"/>
      <c r="E98" s="221"/>
      <c r="F98" s="222"/>
      <c r="G98" s="223"/>
      <c r="H98" s="223"/>
      <c r="I98" s="224"/>
    </row>
    <row r="99" spans="1:9" ht="15.75" x14ac:dyDescent="0.3">
      <c r="A99" s="104" t="s">
        <v>260</v>
      </c>
      <c r="B99" s="85" t="s">
        <v>122</v>
      </c>
      <c r="C99" s="93" t="s">
        <v>265</v>
      </c>
      <c r="D99" s="94">
        <v>1.05</v>
      </c>
      <c r="E99" s="88" t="s">
        <v>16</v>
      </c>
      <c r="F99" s="89">
        <v>65</v>
      </c>
      <c r="G99" s="95">
        <f>PRODUCT(D99,F99)</f>
        <v>68.25</v>
      </c>
      <c r="H99" s="95"/>
      <c r="I99" s="201"/>
    </row>
    <row r="100" spans="1:9" ht="15.75" x14ac:dyDescent="0.3">
      <c r="A100" s="104" t="s">
        <v>261</v>
      </c>
      <c r="B100" s="102" t="s">
        <v>229</v>
      </c>
      <c r="C100" s="136" t="s">
        <v>130</v>
      </c>
      <c r="D100" s="87">
        <v>1.2</v>
      </c>
      <c r="E100" s="88" t="s">
        <v>97</v>
      </c>
      <c r="F100" s="89">
        <v>16.84</v>
      </c>
      <c r="G100" s="91">
        <v>0</v>
      </c>
      <c r="H100" s="95">
        <f>PRODUCT(D100,F100)</f>
        <v>20.207999999999998</v>
      </c>
      <c r="I100" s="96"/>
    </row>
    <row r="101" spans="1:9" ht="15.75" x14ac:dyDescent="0.3">
      <c r="A101" s="104" t="s">
        <v>262</v>
      </c>
      <c r="B101" s="124" t="s">
        <v>100</v>
      </c>
      <c r="C101" s="85" t="s">
        <v>123</v>
      </c>
      <c r="D101" s="125">
        <v>1.2</v>
      </c>
      <c r="E101" s="126" t="s">
        <v>97</v>
      </c>
      <c r="F101" s="128">
        <v>13.78</v>
      </c>
      <c r="G101" s="91">
        <v>0</v>
      </c>
      <c r="H101" s="95">
        <f>PRODUCT(D101,F101)</f>
        <v>16.535999999999998</v>
      </c>
      <c r="I101" s="96"/>
    </row>
    <row r="102" spans="1:9" ht="15.75" x14ac:dyDescent="0.3">
      <c r="A102" s="104"/>
      <c r="B102" s="85"/>
      <c r="C102" s="137" t="s">
        <v>127</v>
      </c>
      <c r="D102" s="138">
        <v>1</v>
      </c>
      <c r="E102" s="139" t="s">
        <v>12</v>
      </c>
      <c r="F102" s="100"/>
      <c r="G102" s="140">
        <f>SUM(G99)</f>
        <v>68.25</v>
      </c>
      <c r="H102" s="140">
        <f>SUM(H99,H101,H100,)</f>
        <v>36.744</v>
      </c>
      <c r="I102" s="141">
        <f>SUM(G102:H102)</f>
        <v>104.994</v>
      </c>
    </row>
    <row r="103" spans="1:9" ht="15.75" x14ac:dyDescent="0.3">
      <c r="A103" s="104"/>
      <c r="B103" s="112"/>
      <c r="C103" s="93"/>
      <c r="D103" s="94"/>
      <c r="E103" s="88"/>
      <c r="F103" s="89"/>
      <c r="G103" s="95"/>
      <c r="H103" s="95"/>
      <c r="I103" s="201"/>
    </row>
    <row r="104" spans="1:9" ht="15.75" x14ac:dyDescent="0.3">
      <c r="A104" s="225" t="s">
        <v>62</v>
      </c>
      <c r="B104" s="218"/>
      <c r="C104" s="219" t="s">
        <v>25</v>
      </c>
      <c r="D104" s="220"/>
      <c r="E104" s="221"/>
      <c r="F104" s="222"/>
      <c r="G104" s="223"/>
      <c r="H104" s="223"/>
      <c r="I104" s="224"/>
    </row>
    <row r="105" spans="1:9" ht="15.75" x14ac:dyDescent="0.3">
      <c r="A105" s="104"/>
      <c r="B105" s="85" t="s">
        <v>100</v>
      </c>
      <c r="C105" s="86" t="s">
        <v>96</v>
      </c>
      <c r="D105" s="87">
        <v>0.4</v>
      </c>
      <c r="E105" s="88" t="s">
        <v>97</v>
      </c>
      <c r="F105" s="89">
        <v>13.78</v>
      </c>
      <c r="G105" s="90">
        <v>0</v>
      </c>
      <c r="H105" s="91">
        <f>IF($E105="h",$D105*$F105,0)</f>
        <v>5.5120000000000005</v>
      </c>
      <c r="I105" s="96"/>
    </row>
    <row r="106" spans="1:9" ht="15.75" x14ac:dyDescent="0.3">
      <c r="A106" s="104"/>
      <c r="B106" s="85"/>
      <c r="C106" s="97" t="s">
        <v>98</v>
      </c>
      <c r="D106" s="98">
        <v>1</v>
      </c>
      <c r="E106" s="99" t="s">
        <v>12</v>
      </c>
      <c r="F106" s="100"/>
      <c r="G106" s="95"/>
      <c r="H106" s="101">
        <f>SUM(H105:H105)</f>
        <v>5.5120000000000005</v>
      </c>
      <c r="I106" s="92"/>
    </row>
    <row r="107" spans="1:9" ht="15.75" x14ac:dyDescent="0.3">
      <c r="A107" s="104"/>
      <c r="B107" s="112"/>
      <c r="C107" s="93"/>
      <c r="D107" s="94"/>
      <c r="E107" s="88"/>
      <c r="F107" s="89"/>
      <c r="G107" s="95"/>
      <c r="H107" s="95"/>
      <c r="I107" s="201"/>
    </row>
    <row r="108" spans="1:9" ht="15.75" x14ac:dyDescent="0.3">
      <c r="A108" s="225" t="s">
        <v>63</v>
      </c>
      <c r="B108" s="218"/>
      <c r="C108" s="219" t="s">
        <v>30</v>
      </c>
      <c r="D108" s="220"/>
      <c r="E108" s="221"/>
      <c r="F108" s="222"/>
      <c r="G108" s="223"/>
      <c r="H108" s="223"/>
      <c r="I108" s="224"/>
    </row>
    <row r="109" spans="1:9" ht="15.75" x14ac:dyDescent="0.3">
      <c r="A109" s="104"/>
      <c r="B109" s="85" t="s">
        <v>125</v>
      </c>
      <c r="C109" s="86" t="s">
        <v>126</v>
      </c>
      <c r="D109" s="135">
        <v>0.01</v>
      </c>
      <c r="E109" s="88" t="s">
        <v>21</v>
      </c>
      <c r="F109" s="89">
        <v>1957.78</v>
      </c>
      <c r="G109" s="91">
        <f>PRODUCT(D109,F109)</f>
        <v>19.5778</v>
      </c>
      <c r="H109" s="95">
        <f>IF($F109="h",$E109*$G109,0)</f>
        <v>0</v>
      </c>
      <c r="I109" s="96"/>
    </row>
    <row r="110" spans="1:9" ht="15.75" x14ac:dyDescent="0.3">
      <c r="A110" s="104"/>
      <c r="B110" s="102" t="s">
        <v>228</v>
      </c>
      <c r="C110" s="86" t="s">
        <v>234</v>
      </c>
      <c r="D110" s="135">
        <v>0.8</v>
      </c>
      <c r="E110" s="88" t="s">
        <v>97</v>
      </c>
      <c r="F110" s="89">
        <v>15.5</v>
      </c>
      <c r="G110" s="91">
        <v>0</v>
      </c>
      <c r="H110" s="95">
        <f>PRODUCT(D110,F110)</f>
        <v>12.4</v>
      </c>
      <c r="I110" s="96"/>
    </row>
    <row r="111" spans="1:9" ht="15.75" x14ac:dyDescent="0.3">
      <c r="A111" s="104"/>
      <c r="B111" s="102" t="s">
        <v>285</v>
      </c>
      <c r="C111" s="136" t="s">
        <v>142</v>
      </c>
      <c r="D111" s="87">
        <v>0.5</v>
      </c>
      <c r="E111" s="88" t="s">
        <v>97</v>
      </c>
      <c r="F111" s="89">
        <v>14.71</v>
      </c>
      <c r="G111" s="91">
        <v>0</v>
      </c>
      <c r="H111" s="95">
        <f>PRODUCT(D111,F111)</f>
        <v>7.3550000000000004</v>
      </c>
      <c r="I111" s="96"/>
    </row>
    <row r="112" spans="1:9" ht="15.75" x14ac:dyDescent="0.3">
      <c r="A112" s="104"/>
      <c r="B112" s="124" t="s">
        <v>100</v>
      </c>
      <c r="C112" s="85" t="s">
        <v>123</v>
      </c>
      <c r="D112" s="87">
        <v>0.5</v>
      </c>
      <c r="E112" s="88" t="s">
        <v>97</v>
      </c>
      <c r="F112" s="89">
        <v>13.78</v>
      </c>
      <c r="G112" s="91">
        <v>0</v>
      </c>
      <c r="H112" s="95">
        <f>PRODUCT(D112,F112)</f>
        <v>6.89</v>
      </c>
      <c r="I112" s="96"/>
    </row>
    <row r="113" spans="1:9" ht="15.75" x14ac:dyDescent="0.3">
      <c r="A113" s="104"/>
      <c r="B113" s="85"/>
      <c r="C113" s="137" t="s">
        <v>127</v>
      </c>
      <c r="D113" s="138">
        <v>1</v>
      </c>
      <c r="E113" s="139" t="s">
        <v>12</v>
      </c>
      <c r="F113" s="100"/>
      <c r="G113" s="140">
        <f>SUM(G109)</f>
        <v>19.5778</v>
      </c>
      <c r="H113" s="140">
        <f>SUM(H110,H112,H111,)</f>
        <v>26.645</v>
      </c>
      <c r="I113" s="141">
        <f>SUM(G113:H113)</f>
        <v>46.222799999999999</v>
      </c>
    </row>
    <row r="114" spans="1:9" ht="15.75" x14ac:dyDescent="0.3">
      <c r="A114" s="104"/>
      <c r="B114" s="112"/>
      <c r="C114" s="93"/>
      <c r="D114" s="94"/>
      <c r="E114" s="88"/>
      <c r="F114" s="89"/>
      <c r="G114" s="95"/>
      <c r="H114" s="95"/>
      <c r="I114" s="201"/>
    </row>
    <row r="115" spans="1:9" ht="15.75" x14ac:dyDescent="0.3">
      <c r="A115" s="225" t="s">
        <v>64</v>
      </c>
      <c r="B115" s="218"/>
      <c r="C115" s="219" t="s">
        <v>268</v>
      </c>
      <c r="D115" s="220"/>
      <c r="E115" s="221"/>
      <c r="F115" s="222"/>
      <c r="G115" s="223"/>
      <c r="H115" s="223"/>
      <c r="I115" s="224"/>
    </row>
    <row r="116" spans="1:9" ht="15.75" x14ac:dyDescent="0.3">
      <c r="A116" s="104"/>
      <c r="B116" s="85" t="s">
        <v>125</v>
      </c>
      <c r="C116" s="86" t="s">
        <v>126</v>
      </c>
      <c r="D116" s="135">
        <v>2.8000000000000001E-2</v>
      </c>
      <c r="E116" s="88" t="s">
        <v>21</v>
      </c>
      <c r="F116" s="89">
        <v>1957.78</v>
      </c>
      <c r="G116" s="91">
        <f>PRODUCT(D116,F116)</f>
        <v>54.817840000000004</v>
      </c>
      <c r="H116" s="95">
        <f>IF($F116="h",$E116*$G116,0)</f>
        <v>0</v>
      </c>
      <c r="I116" s="96"/>
    </row>
    <row r="117" spans="1:9" ht="15.75" x14ac:dyDescent="0.3">
      <c r="A117" s="104"/>
      <c r="B117" s="102" t="s">
        <v>228</v>
      </c>
      <c r="C117" s="86" t="s">
        <v>234</v>
      </c>
      <c r="D117" s="135">
        <v>0.8</v>
      </c>
      <c r="E117" s="88" t="s">
        <v>97</v>
      </c>
      <c r="F117" s="89">
        <v>15.5</v>
      </c>
      <c r="G117" s="91">
        <v>0</v>
      </c>
      <c r="H117" s="95">
        <f>PRODUCT(D117,F117)</f>
        <v>12.4</v>
      </c>
      <c r="I117" s="96"/>
    </row>
    <row r="118" spans="1:9" ht="15.75" x14ac:dyDescent="0.3">
      <c r="A118" s="104"/>
      <c r="B118" s="102" t="s">
        <v>285</v>
      </c>
      <c r="C118" s="136" t="s">
        <v>142</v>
      </c>
      <c r="D118" s="87">
        <v>1.1000000000000001</v>
      </c>
      <c r="E118" s="88" t="s">
        <v>97</v>
      </c>
      <c r="F118" s="89">
        <v>14.71</v>
      </c>
      <c r="G118" s="91">
        <v>0</v>
      </c>
      <c r="H118" s="95">
        <f>PRODUCT(D118,F118)</f>
        <v>16.181000000000001</v>
      </c>
      <c r="I118" s="96"/>
    </row>
    <row r="119" spans="1:9" ht="15.75" x14ac:dyDescent="0.3">
      <c r="A119" s="104"/>
      <c r="B119" s="124" t="s">
        <v>100</v>
      </c>
      <c r="C119" s="85" t="s">
        <v>123</v>
      </c>
      <c r="D119" s="87">
        <v>1.1000000000000001</v>
      </c>
      <c r="E119" s="88" t="s">
        <v>97</v>
      </c>
      <c r="F119" s="89">
        <v>13.78</v>
      </c>
      <c r="G119" s="91">
        <v>0</v>
      </c>
      <c r="H119" s="95">
        <f>PRODUCT(D119,F119)</f>
        <v>15.158000000000001</v>
      </c>
      <c r="I119" s="96"/>
    </row>
    <row r="120" spans="1:9" ht="15.75" x14ac:dyDescent="0.3">
      <c r="A120" s="104"/>
      <c r="B120" s="85"/>
      <c r="C120" s="137" t="s">
        <v>127</v>
      </c>
      <c r="D120" s="138">
        <v>1</v>
      </c>
      <c r="E120" s="139" t="s">
        <v>12</v>
      </c>
      <c r="F120" s="100"/>
      <c r="G120" s="140">
        <f>SUM(G116)</f>
        <v>54.817840000000004</v>
      </c>
      <c r="H120" s="140">
        <f>SUM(H117,H119,H118,)</f>
        <v>43.739000000000004</v>
      </c>
      <c r="I120" s="141">
        <f>SUM(G120:H120)</f>
        <v>98.556840000000008</v>
      </c>
    </row>
    <row r="121" spans="1:9" ht="15.75" x14ac:dyDescent="0.3">
      <c r="A121" s="104"/>
      <c r="B121" s="112"/>
      <c r="C121" s="93"/>
      <c r="D121" s="94"/>
      <c r="E121" s="88"/>
      <c r="F121" s="89"/>
      <c r="G121" s="95"/>
      <c r="H121" s="95"/>
      <c r="I121" s="201"/>
    </row>
    <row r="122" spans="1:9" ht="15.75" x14ac:dyDescent="0.3">
      <c r="A122" s="217" t="s">
        <v>65</v>
      </c>
      <c r="B122" s="117" t="s">
        <v>94</v>
      </c>
      <c r="C122" s="118" t="s">
        <v>26</v>
      </c>
      <c r="D122" s="119"/>
      <c r="E122" s="120"/>
      <c r="F122" s="121"/>
      <c r="G122" s="120"/>
      <c r="H122" s="120"/>
      <c r="I122" s="122"/>
    </row>
    <row r="123" spans="1:9" ht="15.75" x14ac:dyDescent="0.3">
      <c r="A123" s="104"/>
      <c r="B123" s="124" t="s">
        <v>137</v>
      </c>
      <c r="C123" s="124" t="s">
        <v>138</v>
      </c>
      <c r="D123" s="106">
        <v>0.8</v>
      </c>
      <c r="E123" s="142" t="s">
        <v>15</v>
      </c>
      <c r="F123" s="143">
        <v>0.66</v>
      </c>
      <c r="G123" s="91">
        <f>IF($E123="unid",$D123*$F123,0)</f>
        <v>0.52800000000000002</v>
      </c>
      <c r="H123" s="154"/>
      <c r="I123" s="151"/>
    </row>
    <row r="124" spans="1:9" ht="15.75" x14ac:dyDescent="0.3">
      <c r="A124" s="104"/>
      <c r="B124" s="85" t="s">
        <v>95</v>
      </c>
      <c r="C124" s="145" t="s">
        <v>123</v>
      </c>
      <c r="D124" s="106">
        <v>0.5</v>
      </c>
      <c r="E124" s="142" t="s">
        <v>97</v>
      </c>
      <c r="F124" s="143">
        <v>13.78</v>
      </c>
      <c r="G124" s="150"/>
      <c r="H124" s="91">
        <f>IF($E124="h",$D124*$F124,0)</f>
        <v>6.89</v>
      </c>
      <c r="I124" s="151"/>
    </row>
    <row r="125" spans="1:9" ht="15.75" x14ac:dyDescent="0.3">
      <c r="A125" s="104"/>
      <c r="B125" s="131"/>
      <c r="C125" s="146" t="s">
        <v>127</v>
      </c>
      <c r="D125" s="147">
        <v>1</v>
      </c>
      <c r="E125" s="148" t="s">
        <v>12</v>
      </c>
      <c r="F125" s="128"/>
      <c r="G125" s="149">
        <f>SUM(G123:G124)</f>
        <v>0.52800000000000002</v>
      </c>
      <c r="H125" s="149">
        <f>SUM(H123:H124)</f>
        <v>6.89</v>
      </c>
      <c r="I125" s="144">
        <f>SUM(G125:H125)</f>
        <v>7.4179999999999993</v>
      </c>
    </row>
    <row r="126" spans="1:9" ht="15.75" x14ac:dyDescent="0.3">
      <c r="A126" s="104"/>
      <c r="B126" s="112"/>
      <c r="C126" s="93"/>
      <c r="D126" s="94"/>
      <c r="E126" s="88"/>
      <c r="F126" s="89"/>
      <c r="G126" s="95"/>
      <c r="H126" s="95"/>
      <c r="I126" s="201"/>
    </row>
    <row r="127" spans="1:9" ht="15.75" x14ac:dyDescent="0.3">
      <c r="A127" s="217" t="s">
        <v>274</v>
      </c>
      <c r="B127" s="117" t="s">
        <v>94</v>
      </c>
      <c r="C127" s="118" t="s">
        <v>275</v>
      </c>
      <c r="D127" s="119"/>
      <c r="E127" s="120"/>
      <c r="F127" s="121"/>
      <c r="G127" s="120"/>
      <c r="H127" s="120"/>
      <c r="I127" s="122"/>
    </row>
    <row r="128" spans="1:9" ht="15.75" x14ac:dyDescent="0.3">
      <c r="A128" s="104"/>
      <c r="B128" s="112" t="s">
        <v>300</v>
      </c>
      <c r="C128" s="93" t="s">
        <v>277</v>
      </c>
      <c r="D128" s="94">
        <v>280</v>
      </c>
      <c r="E128" s="88" t="s">
        <v>16</v>
      </c>
      <c r="F128" s="89">
        <v>1.44</v>
      </c>
      <c r="G128" s="91">
        <f>IF($E128="m",$D128*$F128,0)</f>
        <v>403.2</v>
      </c>
      <c r="H128" s="95"/>
      <c r="I128" s="201"/>
    </row>
    <row r="129" spans="1:9" ht="15.75" x14ac:dyDescent="0.3">
      <c r="A129" s="104"/>
      <c r="B129" s="112" t="s">
        <v>297</v>
      </c>
      <c r="C129" s="93" t="s">
        <v>298</v>
      </c>
      <c r="D129" s="94">
        <v>840</v>
      </c>
      <c r="E129" s="88" t="s">
        <v>16</v>
      </c>
      <c r="F129" s="89">
        <v>2.8</v>
      </c>
      <c r="G129" s="91">
        <f t="shared" ref="G129:G130" si="4">IF($E129="m",$D129*$F129,0)</f>
        <v>2352</v>
      </c>
      <c r="H129" s="95"/>
      <c r="I129" s="201"/>
    </row>
    <row r="130" spans="1:9" ht="15.75" x14ac:dyDescent="0.3">
      <c r="A130" s="104"/>
      <c r="B130" s="112" t="s">
        <v>299</v>
      </c>
      <c r="C130" s="93" t="s">
        <v>278</v>
      </c>
      <c r="D130" s="94">
        <v>180</v>
      </c>
      <c r="E130" s="88" t="s">
        <v>16</v>
      </c>
      <c r="F130" s="89">
        <v>5.0999999999999996</v>
      </c>
      <c r="G130" s="91">
        <f t="shared" si="4"/>
        <v>917.99999999999989</v>
      </c>
      <c r="H130" s="95"/>
      <c r="I130" s="201"/>
    </row>
    <row r="131" spans="1:9" ht="15.75" x14ac:dyDescent="0.3">
      <c r="A131" s="104"/>
      <c r="B131" s="112" t="s">
        <v>296</v>
      </c>
      <c r="C131" s="93" t="s">
        <v>279</v>
      </c>
      <c r="D131" s="94">
        <v>3</v>
      </c>
      <c r="E131" s="88" t="s">
        <v>15</v>
      </c>
      <c r="F131" s="89">
        <v>6</v>
      </c>
      <c r="G131" s="91">
        <f t="shared" ref="G131" si="5">IF($E131="unid",$D131*$F131,0)</f>
        <v>18</v>
      </c>
      <c r="H131" s="95"/>
      <c r="I131" s="201"/>
    </row>
    <row r="132" spans="1:9" ht="15.75" x14ac:dyDescent="0.3">
      <c r="A132" s="104"/>
      <c r="B132" s="112" t="s">
        <v>295</v>
      </c>
      <c r="C132" s="93" t="s">
        <v>280</v>
      </c>
      <c r="D132" s="94">
        <v>44</v>
      </c>
      <c r="E132" s="88" t="s">
        <v>97</v>
      </c>
      <c r="F132" s="89">
        <v>16.93</v>
      </c>
      <c r="G132" s="95"/>
      <c r="H132" s="91">
        <f>IF($E132="h",$D132*$F132,0)</f>
        <v>744.92</v>
      </c>
      <c r="I132" s="201"/>
    </row>
    <row r="133" spans="1:9" ht="15.75" x14ac:dyDescent="0.3">
      <c r="A133" s="104"/>
      <c r="B133" s="85" t="s">
        <v>95</v>
      </c>
      <c r="C133" s="145" t="s">
        <v>123</v>
      </c>
      <c r="D133" s="106">
        <v>44</v>
      </c>
      <c r="E133" s="142" t="s">
        <v>97</v>
      </c>
      <c r="F133" s="143">
        <v>13.78</v>
      </c>
      <c r="G133" s="95"/>
      <c r="H133" s="91">
        <f>IF($E133="h",$D133*$F133,0)</f>
        <v>606.31999999999994</v>
      </c>
      <c r="I133" s="201"/>
    </row>
    <row r="134" spans="1:9" ht="15.75" x14ac:dyDescent="0.3">
      <c r="A134" s="104"/>
      <c r="B134" s="112"/>
      <c r="C134" s="146" t="s">
        <v>127</v>
      </c>
      <c r="D134" s="98">
        <v>1</v>
      </c>
      <c r="E134" s="114" t="s">
        <v>15</v>
      </c>
      <c r="F134" s="89"/>
      <c r="G134" s="101">
        <f>SUM(G128:G131)</f>
        <v>3691.2</v>
      </c>
      <c r="H134" s="101">
        <f>SUM(H132:H133)</f>
        <v>1351.2399999999998</v>
      </c>
      <c r="I134" s="115">
        <f>SUM(G134:H134)</f>
        <v>5042.4399999999996</v>
      </c>
    </row>
    <row r="135" spans="1:9" ht="15.75" x14ac:dyDescent="0.3">
      <c r="A135" s="104"/>
      <c r="B135" s="112"/>
      <c r="C135" s="93"/>
      <c r="D135" s="94"/>
      <c r="E135" s="88"/>
      <c r="F135" s="89"/>
      <c r="G135" s="95"/>
      <c r="H135" s="95"/>
      <c r="I135" s="201"/>
    </row>
    <row r="136" spans="1:9" ht="15.75" x14ac:dyDescent="0.3">
      <c r="A136" s="217" t="s">
        <v>282</v>
      </c>
      <c r="B136" s="117" t="s">
        <v>94</v>
      </c>
      <c r="C136" s="118" t="s">
        <v>281</v>
      </c>
      <c r="D136" s="119"/>
      <c r="E136" s="120"/>
      <c r="F136" s="121"/>
      <c r="G136" s="120"/>
      <c r="H136" s="120"/>
      <c r="I136" s="122"/>
    </row>
    <row r="137" spans="1:9" ht="15.75" x14ac:dyDescent="0.3">
      <c r="A137" s="104"/>
      <c r="B137" s="112" t="s">
        <v>295</v>
      </c>
      <c r="C137" s="93" t="s">
        <v>280</v>
      </c>
      <c r="D137" s="94">
        <v>12</v>
      </c>
      <c r="E137" s="88" t="s">
        <v>97</v>
      </c>
      <c r="F137" s="89">
        <v>16.93</v>
      </c>
      <c r="G137" s="95"/>
      <c r="H137" s="91">
        <f>IF($E137="h",$D137*$F137,0)</f>
        <v>203.16</v>
      </c>
      <c r="I137" s="201"/>
    </row>
    <row r="138" spans="1:9" ht="15.75" x14ac:dyDescent="0.3">
      <c r="A138" s="104"/>
      <c r="B138" s="85" t="s">
        <v>95</v>
      </c>
      <c r="C138" s="145" t="s">
        <v>123</v>
      </c>
      <c r="D138" s="106">
        <v>12</v>
      </c>
      <c r="E138" s="142" t="s">
        <v>97</v>
      </c>
      <c r="F138" s="143">
        <v>13.78</v>
      </c>
      <c r="G138" s="95"/>
      <c r="H138" s="91">
        <f>IF($E138="h",$D138*$F138,0)</f>
        <v>165.35999999999999</v>
      </c>
      <c r="I138" s="201"/>
    </row>
    <row r="139" spans="1:9" ht="15.75" x14ac:dyDescent="0.3">
      <c r="A139" s="104"/>
      <c r="B139" s="112"/>
      <c r="C139" s="146" t="s">
        <v>127</v>
      </c>
      <c r="D139" s="98">
        <v>1</v>
      </c>
      <c r="E139" s="114" t="s">
        <v>15</v>
      </c>
      <c r="F139" s="89"/>
      <c r="G139" s="101"/>
      <c r="H139" s="101">
        <f>SUM(H137:H138)</f>
        <v>368.52</v>
      </c>
      <c r="I139" s="115">
        <f>SUM(G139:H139)</f>
        <v>368.52</v>
      </c>
    </row>
    <row r="140" spans="1:9" ht="15.75" x14ac:dyDescent="0.3">
      <c r="A140" s="104"/>
      <c r="B140" s="112"/>
      <c r="C140" s="93"/>
      <c r="D140" s="94"/>
      <c r="E140" s="88"/>
      <c r="F140" s="89"/>
      <c r="G140" s="95"/>
      <c r="H140" s="95"/>
      <c r="I140" s="201"/>
    </row>
    <row r="141" spans="1:9" ht="15.75" x14ac:dyDescent="0.3">
      <c r="A141" s="104"/>
      <c r="B141" s="112"/>
      <c r="C141" s="93"/>
      <c r="D141" s="94"/>
      <c r="E141" s="88"/>
      <c r="F141" s="89"/>
      <c r="G141" s="95"/>
      <c r="H141" s="95"/>
      <c r="I141" s="201"/>
    </row>
    <row r="142" spans="1:9" ht="15.75" x14ac:dyDescent="0.3">
      <c r="A142" s="104"/>
      <c r="B142" s="112"/>
      <c r="C142" s="93"/>
      <c r="D142" s="94"/>
      <c r="E142" s="88"/>
      <c r="F142" s="89"/>
      <c r="G142" s="95"/>
      <c r="H142" s="95"/>
      <c r="I142" s="201"/>
    </row>
    <row r="143" spans="1:9" ht="15.75" x14ac:dyDescent="0.3">
      <c r="A143" s="217" t="s">
        <v>294</v>
      </c>
      <c r="B143" s="218"/>
      <c r="C143" s="235" t="s">
        <v>293</v>
      </c>
      <c r="D143" s="220"/>
      <c r="E143" s="221"/>
      <c r="F143" s="222"/>
      <c r="G143" s="223"/>
      <c r="H143" s="223"/>
      <c r="I143" s="224"/>
    </row>
    <row r="144" spans="1:9" ht="15.75" x14ac:dyDescent="0.3">
      <c r="A144" s="104"/>
      <c r="B144" s="112"/>
      <c r="C144" s="93" t="s">
        <v>302</v>
      </c>
      <c r="D144" s="94">
        <v>1</v>
      </c>
      <c r="E144" s="88" t="s">
        <v>15</v>
      </c>
      <c r="F144" s="89">
        <v>0</v>
      </c>
      <c r="G144" s="91">
        <f t="shared" ref="G144" si="6">IF($E144="unid",$D144*$F144,0)</f>
        <v>0</v>
      </c>
      <c r="H144" s="95"/>
      <c r="I144" s="201"/>
    </row>
    <row r="145" spans="1:9" ht="15.75" x14ac:dyDescent="0.3">
      <c r="A145" s="104"/>
      <c r="B145" s="112" t="s">
        <v>295</v>
      </c>
      <c r="C145" s="93" t="s">
        <v>280</v>
      </c>
      <c r="D145" s="94">
        <v>1</v>
      </c>
      <c r="E145" s="88" t="s">
        <v>97</v>
      </c>
      <c r="F145" s="89">
        <v>16.93</v>
      </c>
      <c r="G145" s="95"/>
      <c r="H145" s="91">
        <f>IF($E145="h",$D145*$F145,0)</f>
        <v>16.93</v>
      </c>
      <c r="I145" s="201"/>
    </row>
    <row r="146" spans="1:9" ht="15.75" x14ac:dyDescent="0.3">
      <c r="A146" s="104"/>
      <c r="B146" s="85" t="s">
        <v>95</v>
      </c>
      <c r="C146" s="145" t="s">
        <v>123</v>
      </c>
      <c r="D146" s="106">
        <v>1</v>
      </c>
      <c r="E146" s="142" t="s">
        <v>97</v>
      </c>
      <c r="F146" s="143">
        <v>13.78</v>
      </c>
      <c r="G146" s="95"/>
      <c r="H146" s="91">
        <f>IF($E146="h",$D146*$F146,0)</f>
        <v>13.78</v>
      </c>
      <c r="I146" s="201"/>
    </row>
    <row r="147" spans="1:9" ht="15.75" x14ac:dyDescent="0.3">
      <c r="A147" s="104"/>
      <c r="B147" s="112"/>
      <c r="C147" s="146" t="s">
        <v>127</v>
      </c>
      <c r="D147" s="98">
        <v>1</v>
      </c>
      <c r="E147" s="114" t="s">
        <v>15</v>
      </c>
      <c r="F147" s="89"/>
      <c r="G147" s="101">
        <f>SUM(G141:G144)</f>
        <v>0</v>
      </c>
      <c r="H147" s="101">
        <f>SUM(H145:H146)</f>
        <v>30.71</v>
      </c>
      <c r="I147" s="115">
        <f>SUM(G147:H147)</f>
        <v>30.71</v>
      </c>
    </row>
    <row r="148" spans="1:9" ht="15.75" x14ac:dyDescent="0.3">
      <c r="A148" s="104"/>
      <c r="B148" s="112"/>
      <c r="C148" s="93"/>
      <c r="D148" s="94"/>
      <c r="E148" s="88"/>
      <c r="F148" s="89"/>
      <c r="G148" s="95"/>
      <c r="H148" s="95"/>
      <c r="I148" s="201"/>
    </row>
    <row r="149" spans="1:9" ht="15" customHeight="1" x14ac:dyDescent="0.25"/>
    <row r="150" spans="1:9" ht="15" customHeight="1" x14ac:dyDescent="0.25"/>
    <row r="151" spans="1:9" ht="15" customHeight="1" x14ac:dyDescent="0.25"/>
    <row r="152" spans="1:9" ht="15" customHeight="1" x14ac:dyDescent="0.25"/>
    <row r="153" spans="1:9" ht="15" customHeight="1" x14ac:dyDescent="0.25"/>
    <row r="154" spans="1:9" ht="15" customHeight="1" x14ac:dyDescent="0.25"/>
    <row r="155" spans="1:9" ht="15" customHeight="1" x14ac:dyDescent="0.25"/>
    <row r="156" spans="1:9" ht="15" customHeight="1" x14ac:dyDescent="0.25"/>
    <row r="157" spans="1:9" ht="15" customHeight="1" x14ac:dyDescent="0.25"/>
  </sheetData>
  <sheetProtection algorithmName="SHA-512" hashValue="ydLOY4BAvvR/ZaSHvrJWrqHN0lb0iHC7mAuDMeP6WWR6H1AmSBmpupsLZk4zj0fPmodXFQd168qpfrWbmPhdYg==" saltValue="ApThVYWO9Jquek1qeW8aMA==" spinCount="100000" sheet="1" objects="1" scenarios="1"/>
  <mergeCells count="11">
    <mergeCell ref="G4:H4"/>
    <mergeCell ref="A1:C3"/>
    <mergeCell ref="D1:I1"/>
    <mergeCell ref="E2:I2"/>
    <mergeCell ref="E3:I3"/>
    <mergeCell ref="A4:A5"/>
    <mergeCell ref="B4:B5"/>
    <mergeCell ref="C4:C5"/>
    <mergeCell ref="D4:D5"/>
    <mergeCell ref="E4:E5"/>
    <mergeCell ref="F4:F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9"/>
  <sheetViews>
    <sheetView workbookViewId="0">
      <selection activeCell="F7" sqref="F7"/>
    </sheetView>
  </sheetViews>
  <sheetFormatPr defaultRowHeight="15" x14ac:dyDescent="0.25"/>
  <cols>
    <col min="1" max="1" width="9.140625" style="103"/>
  </cols>
  <sheetData>
    <row r="1" spans="1:19" ht="21.75" customHeight="1" thickBot="1" x14ac:dyDescent="0.3">
      <c r="A1" s="555" t="s">
        <v>324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556"/>
      <c r="S1" s="557"/>
    </row>
    <row r="2" spans="1:19" ht="42.75" x14ac:dyDescent="0.3">
      <c r="A2" s="209" t="s">
        <v>144</v>
      </c>
      <c r="B2" s="558" t="s">
        <v>145</v>
      </c>
      <c r="C2" s="558"/>
      <c r="D2" s="558"/>
      <c r="E2" s="558"/>
      <c r="F2" s="558"/>
      <c r="G2" s="558"/>
      <c r="H2" s="559"/>
      <c r="I2" s="157" t="s">
        <v>0</v>
      </c>
      <c r="J2" s="560" t="s">
        <v>146</v>
      </c>
      <c r="K2" s="558"/>
      <c r="L2" s="158" t="s">
        <v>147</v>
      </c>
      <c r="M2" s="560" t="s">
        <v>148</v>
      </c>
      <c r="N2" s="558"/>
      <c r="O2" s="158" t="s">
        <v>147</v>
      </c>
      <c r="P2" s="560" t="s">
        <v>149</v>
      </c>
      <c r="Q2" s="558"/>
      <c r="R2" s="159" t="s">
        <v>147</v>
      </c>
      <c r="S2" s="160" t="s">
        <v>150</v>
      </c>
    </row>
    <row r="3" spans="1:19" ht="15.75" x14ac:dyDescent="0.3">
      <c r="A3" s="436" t="s">
        <v>214</v>
      </c>
      <c r="B3" s="547" t="s">
        <v>133</v>
      </c>
      <c r="C3" s="547"/>
      <c r="D3" s="547"/>
      <c r="E3" s="547"/>
      <c r="F3" s="547"/>
      <c r="G3" s="547"/>
      <c r="H3" s="548"/>
      <c r="I3" s="437" t="s">
        <v>36</v>
      </c>
      <c r="J3" s="549" t="s">
        <v>151</v>
      </c>
      <c r="K3" s="550"/>
      <c r="L3" s="438">
        <v>22.06</v>
      </c>
      <c r="M3" s="551" t="s">
        <v>152</v>
      </c>
      <c r="N3" s="552"/>
      <c r="O3" s="439">
        <v>24.9</v>
      </c>
      <c r="P3" s="549" t="s">
        <v>153</v>
      </c>
      <c r="Q3" s="550"/>
      <c r="R3" s="440">
        <v>16.989999999999998</v>
      </c>
      <c r="S3" s="441">
        <f t="shared" ref="S3" si="0">MEDIAN(L3,O3,R3)</f>
        <v>22.06</v>
      </c>
    </row>
    <row r="4" spans="1:19" ht="15.75" x14ac:dyDescent="0.3">
      <c r="A4" s="436" t="s">
        <v>237</v>
      </c>
      <c r="B4" s="442" t="s">
        <v>233</v>
      </c>
      <c r="C4" s="442"/>
      <c r="D4" s="442"/>
      <c r="E4" s="442"/>
      <c r="F4" s="442"/>
      <c r="G4" s="442"/>
      <c r="H4" s="443"/>
      <c r="I4" s="437" t="s">
        <v>240</v>
      </c>
      <c r="J4" s="444"/>
      <c r="K4" s="445"/>
      <c r="L4" s="446">
        <v>23</v>
      </c>
      <c r="M4" s="444"/>
      <c r="N4" s="445"/>
      <c r="O4" s="439"/>
      <c r="P4" s="447"/>
      <c r="Q4" s="448"/>
      <c r="R4" s="440"/>
      <c r="S4" s="441">
        <v>23</v>
      </c>
    </row>
    <row r="5" spans="1:19" x14ac:dyDescent="0.25">
      <c r="A5" s="449" t="s">
        <v>252</v>
      </c>
      <c r="B5" s="547" t="s">
        <v>140</v>
      </c>
      <c r="C5" s="547"/>
      <c r="D5" s="547"/>
      <c r="E5" s="547"/>
      <c r="F5" s="547"/>
      <c r="G5" s="547"/>
      <c r="H5" s="548"/>
      <c r="I5" s="450" t="s">
        <v>155</v>
      </c>
      <c r="J5" s="553" t="s">
        <v>156</v>
      </c>
      <c r="K5" s="554"/>
      <c r="L5" s="446">
        <v>31.96</v>
      </c>
      <c r="M5" s="549" t="s">
        <v>157</v>
      </c>
      <c r="N5" s="550"/>
      <c r="O5" s="446">
        <v>41.64</v>
      </c>
      <c r="P5" s="549" t="s">
        <v>154</v>
      </c>
      <c r="Q5" s="550"/>
      <c r="R5" s="451">
        <v>36.9</v>
      </c>
      <c r="S5" s="441">
        <f>MEDIAN(L5,O5,R5)</f>
        <v>36.9</v>
      </c>
    </row>
    <row r="6" spans="1:19" x14ac:dyDescent="0.25">
      <c r="A6" s="449" t="s">
        <v>260</v>
      </c>
      <c r="B6" s="442" t="s">
        <v>259</v>
      </c>
      <c r="C6" s="442"/>
      <c r="D6" s="442"/>
      <c r="E6" s="442"/>
      <c r="F6" s="442"/>
      <c r="G6" s="442"/>
      <c r="H6" s="443"/>
      <c r="I6" s="450" t="s">
        <v>12</v>
      </c>
      <c r="J6" s="444"/>
      <c r="K6" s="445"/>
      <c r="L6" s="446"/>
      <c r="M6" s="447"/>
      <c r="N6" s="448"/>
      <c r="O6" s="446"/>
      <c r="P6" s="447"/>
      <c r="Q6" s="448"/>
      <c r="R6" s="451"/>
      <c r="S6" s="441">
        <v>32</v>
      </c>
    </row>
    <row r="7" spans="1:19" x14ac:dyDescent="0.25">
      <c r="A7" s="449"/>
      <c r="B7" s="442" t="s">
        <v>265</v>
      </c>
      <c r="C7" s="442"/>
      <c r="D7" s="442"/>
      <c r="E7" s="442"/>
      <c r="F7" s="442"/>
      <c r="G7" s="442"/>
      <c r="H7" s="443"/>
      <c r="I7" s="450"/>
      <c r="J7" s="444"/>
      <c r="K7" s="445"/>
      <c r="L7" s="446"/>
      <c r="M7" s="447"/>
      <c r="N7" s="448"/>
      <c r="O7" s="446"/>
      <c r="P7" s="447"/>
      <c r="Q7" s="448"/>
      <c r="R7" s="451"/>
      <c r="S7" s="441">
        <v>45</v>
      </c>
    </row>
    <row r="8" spans="1:19" ht="15.75" x14ac:dyDescent="0.3">
      <c r="A8" s="210"/>
      <c r="B8" s="162"/>
      <c r="C8" s="162"/>
      <c r="D8" s="162"/>
      <c r="E8" s="162"/>
      <c r="F8" s="162"/>
      <c r="G8" s="162"/>
      <c r="H8" s="163"/>
      <c r="I8" s="164"/>
      <c r="J8" s="167"/>
      <c r="K8" s="168"/>
      <c r="L8" s="165"/>
      <c r="M8" s="167"/>
      <c r="N8" s="168"/>
      <c r="O8" s="165"/>
      <c r="P8" s="167"/>
      <c r="Q8" s="168"/>
      <c r="R8" s="166"/>
      <c r="S8" s="161"/>
    </row>
    <row r="9" spans="1:19" ht="16.5" thickBot="1" x14ac:dyDescent="0.35">
      <c r="A9" s="211"/>
      <c r="B9" s="169"/>
      <c r="C9" s="169"/>
      <c r="D9" s="169"/>
      <c r="E9" s="169"/>
      <c r="F9" s="169"/>
      <c r="G9" s="169"/>
      <c r="H9" s="170"/>
      <c r="I9" s="171"/>
      <c r="J9" s="545"/>
      <c r="K9" s="546"/>
      <c r="L9" s="172"/>
      <c r="M9" s="545"/>
      <c r="N9" s="546"/>
      <c r="O9" s="172"/>
      <c r="P9" s="545"/>
      <c r="Q9" s="546"/>
      <c r="R9" s="173"/>
      <c r="S9" s="174"/>
    </row>
  </sheetData>
  <mergeCells count="16">
    <mergeCell ref="A1:S1"/>
    <mergeCell ref="B2:H2"/>
    <mergeCell ref="J2:K2"/>
    <mergeCell ref="M2:N2"/>
    <mergeCell ref="P2:Q2"/>
    <mergeCell ref="J9:K9"/>
    <mergeCell ref="M9:N9"/>
    <mergeCell ref="P9:Q9"/>
    <mergeCell ref="B3:H3"/>
    <mergeCell ref="J3:K3"/>
    <mergeCell ref="M3:N3"/>
    <mergeCell ref="P3:Q3"/>
    <mergeCell ref="B5:H5"/>
    <mergeCell ref="J5:K5"/>
    <mergeCell ref="M5:N5"/>
    <mergeCell ref="P5:Q5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796B4-667D-483C-91F1-16AD1A992EBE}">
  <dimension ref="A1:I31"/>
  <sheetViews>
    <sheetView workbookViewId="0">
      <selection activeCell="O19" sqref="O19"/>
    </sheetView>
  </sheetViews>
  <sheetFormatPr defaultRowHeight="15" x14ac:dyDescent="0.25"/>
  <sheetData>
    <row r="1" spans="1:9" ht="9.75" customHeight="1" x14ac:dyDescent="0.25">
      <c r="A1" s="351"/>
      <c r="B1" s="352"/>
      <c r="C1" s="352"/>
      <c r="D1" s="352"/>
      <c r="E1" s="352"/>
      <c r="F1" s="352"/>
      <c r="G1" s="352"/>
      <c r="H1" s="352"/>
      <c r="I1" s="353"/>
    </row>
    <row r="2" spans="1:9" ht="15" customHeight="1" x14ac:dyDescent="0.25">
      <c r="A2" s="493" t="s">
        <v>69</v>
      </c>
      <c r="B2" s="493"/>
      <c r="C2" s="493"/>
      <c r="D2" s="493"/>
      <c r="E2" s="354"/>
      <c r="F2" s="354"/>
      <c r="G2" s="354"/>
      <c r="H2" s="354"/>
      <c r="I2" s="355"/>
    </row>
    <row r="3" spans="1:9" x14ac:dyDescent="0.25">
      <c r="A3" s="312" t="s">
        <v>322</v>
      </c>
      <c r="B3" s="312"/>
      <c r="C3" s="314"/>
      <c r="D3" s="315"/>
      <c r="E3" s="315"/>
      <c r="F3" s="315"/>
      <c r="G3" s="315"/>
      <c r="H3" s="315"/>
      <c r="I3" s="316"/>
    </row>
    <row r="4" spans="1:9" ht="15.75" thickBot="1" x14ac:dyDescent="0.3">
      <c r="A4" s="313" t="s">
        <v>70</v>
      </c>
      <c r="B4" s="313"/>
      <c r="C4" s="317"/>
      <c r="D4" s="318"/>
      <c r="E4" s="318"/>
      <c r="F4" s="318"/>
      <c r="G4" s="318"/>
      <c r="H4" s="318"/>
      <c r="I4" s="319"/>
    </row>
    <row r="5" spans="1:9" ht="15.75" customHeight="1" thickBot="1" x14ac:dyDescent="0.3">
      <c r="A5" s="564" t="s">
        <v>325</v>
      </c>
      <c r="B5" s="565"/>
      <c r="C5" s="565"/>
      <c r="D5" s="565"/>
      <c r="E5" s="565"/>
      <c r="F5" s="565"/>
      <c r="G5" s="565"/>
      <c r="H5" s="565"/>
      <c r="I5" s="566"/>
    </row>
    <row r="6" spans="1:9" ht="15.75" customHeight="1" thickBot="1" x14ac:dyDescent="0.3">
      <c r="A6" s="567" t="s">
        <v>326</v>
      </c>
      <c r="B6" s="568"/>
      <c r="C6" s="568"/>
      <c r="D6" s="568"/>
      <c r="E6" s="568"/>
      <c r="F6" s="568"/>
      <c r="G6" s="568"/>
      <c r="H6" s="568"/>
      <c r="I6" s="569"/>
    </row>
    <row r="7" spans="1:9" ht="15.75" x14ac:dyDescent="0.3">
      <c r="A7" s="320"/>
      <c r="B7" s="321"/>
      <c r="C7" s="321"/>
      <c r="D7" s="321"/>
      <c r="E7" s="321"/>
      <c r="F7" s="321"/>
      <c r="G7" s="321"/>
      <c r="H7" s="321"/>
      <c r="I7" s="322"/>
    </row>
    <row r="8" spans="1:9" ht="15.75" x14ac:dyDescent="0.3">
      <c r="A8" s="323"/>
      <c r="B8" s="324"/>
      <c r="C8" s="324"/>
      <c r="D8" s="324"/>
      <c r="E8" s="324"/>
      <c r="F8" s="324"/>
      <c r="G8" s="324"/>
      <c r="H8" s="324"/>
      <c r="I8" s="325"/>
    </row>
    <row r="9" spans="1:9" ht="16.5" thickBot="1" x14ac:dyDescent="0.35">
      <c r="A9" s="326" t="s">
        <v>327</v>
      </c>
      <c r="B9" s="327" t="s">
        <v>328</v>
      </c>
      <c r="C9" s="328"/>
      <c r="D9" s="328"/>
      <c r="E9" s="328"/>
      <c r="F9" s="328"/>
      <c r="G9" s="328"/>
      <c r="H9" s="328"/>
      <c r="I9" s="329"/>
    </row>
    <row r="10" spans="1:9" ht="16.5" thickBot="1" x14ac:dyDescent="0.35">
      <c r="A10" s="330">
        <v>1</v>
      </c>
      <c r="B10" s="331" t="s">
        <v>329</v>
      </c>
      <c r="C10" s="332"/>
      <c r="D10" s="332"/>
      <c r="E10" s="332"/>
      <c r="F10" s="332"/>
      <c r="G10" s="332"/>
      <c r="H10" s="333"/>
      <c r="I10" s="334">
        <v>0.03</v>
      </c>
    </row>
    <row r="11" spans="1:9" ht="16.5" thickBot="1" x14ac:dyDescent="0.35">
      <c r="A11" s="335"/>
      <c r="B11" s="321"/>
      <c r="C11" s="321"/>
      <c r="D11" s="321"/>
      <c r="E11" s="321"/>
      <c r="F11" s="321"/>
      <c r="G11" s="570" t="s">
        <v>330</v>
      </c>
      <c r="H11" s="571"/>
      <c r="I11" s="334">
        <f>SUM(I10:I10)</f>
        <v>0.03</v>
      </c>
    </row>
    <row r="12" spans="1:9" ht="15.75" x14ac:dyDescent="0.3">
      <c r="A12" s="336"/>
      <c r="B12" s="324"/>
      <c r="C12" s="324"/>
      <c r="D12" s="324"/>
      <c r="E12" s="324"/>
      <c r="F12" s="324"/>
      <c r="G12" s="324"/>
      <c r="H12" s="324"/>
      <c r="I12" s="325"/>
    </row>
    <row r="13" spans="1:9" ht="15.75" x14ac:dyDescent="0.3">
      <c r="A13" s="336"/>
      <c r="B13" s="324"/>
      <c r="C13" s="324"/>
      <c r="D13" s="324"/>
      <c r="E13" s="324"/>
      <c r="F13" s="324"/>
      <c r="G13" s="324"/>
      <c r="H13" s="324"/>
      <c r="I13" s="325"/>
    </row>
    <row r="14" spans="1:9" ht="16.5" thickBot="1" x14ac:dyDescent="0.35">
      <c r="A14" s="337" t="s">
        <v>331</v>
      </c>
      <c r="B14" s="327" t="s">
        <v>332</v>
      </c>
      <c r="C14" s="328"/>
      <c r="D14" s="328"/>
      <c r="E14" s="328"/>
      <c r="F14" s="328"/>
      <c r="G14" s="328"/>
      <c r="H14" s="328"/>
      <c r="I14" s="329"/>
    </row>
    <row r="15" spans="1:9" ht="15.75" x14ac:dyDescent="0.3">
      <c r="A15" s="338">
        <v>2</v>
      </c>
      <c r="B15" s="320" t="s">
        <v>333</v>
      </c>
      <c r="C15" s="321"/>
      <c r="D15" s="321"/>
      <c r="E15" s="321"/>
      <c r="F15" s="321"/>
      <c r="G15" s="321"/>
      <c r="H15" s="339"/>
      <c r="I15" s="340">
        <v>0.01</v>
      </c>
    </row>
    <row r="16" spans="1:9" ht="15.75" x14ac:dyDescent="0.3">
      <c r="A16" s="341">
        <v>3</v>
      </c>
      <c r="B16" s="323" t="s">
        <v>334</v>
      </c>
      <c r="C16" s="324"/>
      <c r="D16" s="324"/>
      <c r="E16" s="324"/>
      <c r="F16" s="324"/>
      <c r="G16" s="324"/>
      <c r="H16" s="342"/>
      <c r="I16" s="343">
        <v>1.2699999999999999E-2</v>
      </c>
    </row>
    <row r="17" spans="1:9" ht="15.75" x14ac:dyDescent="0.3">
      <c r="A17" s="341">
        <v>4</v>
      </c>
      <c r="B17" s="323" t="s">
        <v>335</v>
      </c>
      <c r="C17" s="324"/>
      <c r="D17" s="324"/>
      <c r="E17" s="324"/>
      <c r="F17" s="324"/>
      <c r="G17" s="324"/>
      <c r="H17" s="342"/>
      <c r="I17" s="343">
        <v>3.5000000000000003E-2</v>
      </c>
    </row>
    <row r="18" spans="1:9" ht="16.5" thickBot="1" x14ac:dyDescent="0.35">
      <c r="A18" s="344">
        <v>5</v>
      </c>
      <c r="B18" s="345" t="s">
        <v>336</v>
      </c>
      <c r="C18" s="328"/>
      <c r="D18" s="328"/>
      <c r="E18" s="328"/>
      <c r="F18" s="328"/>
      <c r="G18" s="328"/>
      <c r="H18" s="346"/>
      <c r="I18" s="347">
        <v>1.3899999999999999E-2</v>
      </c>
    </row>
    <row r="19" spans="1:9" ht="16.5" thickBot="1" x14ac:dyDescent="0.35">
      <c r="A19" s="335"/>
      <c r="B19" s="321"/>
      <c r="C19" s="321"/>
      <c r="D19" s="321"/>
      <c r="E19" s="321"/>
      <c r="F19" s="321"/>
      <c r="G19" s="570" t="s">
        <v>337</v>
      </c>
      <c r="H19" s="571"/>
      <c r="I19" s="334">
        <f>SUM(I15:I18)</f>
        <v>7.1599999999999997E-2</v>
      </c>
    </row>
    <row r="20" spans="1:9" ht="15.75" x14ac:dyDescent="0.3">
      <c r="A20" s="336"/>
      <c r="B20" s="324"/>
      <c r="C20" s="324"/>
      <c r="D20" s="324"/>
      <c r="E20" s="324"/>
      <c r="F20" s="324"/>
      <c r="G20" s="324"/>
      <c r="H20" s="324"/>
      <c r="I20" s="348"/>
    </row>
    <row r="21" spans="1:9" ht="15.75" x14ac:dyDescent="0.3">
      <c r="A21" s="336"/>
      <c r="B21" s="324"/>
      <c r="C21" s="324"/>
      <c r="D21" s="324"/>
      <c r="E21" s="324"/>
      <c r="F21" s="324"/>
      <c r="G21" s="324"/>
      <c r="H21" s="324"/>
      <c r="I21" s="325"/>
    </row>
    <row r="22" spans="1:9" ht="16.5" thickBot="1" x14ac:dyDescent="0.35">
      <c r="A22" s="337" t="s">
        <v>338</v>
      </c>
      <c r="B22" s="327" t="s">
        <v>339</v>
      </c>
      <c r="C22" s="328"/>
      <c r="D22" s="328"/>
      <c r="E22" s="328"/>
      <c r="F22" s="328"/>
      <c r="G22" s="328"/>
      <c r="H22" s="328"/>
      <c r="I22" s="329"/>
    </row>
    <row r="23" spans="1:9" ht="15.75" x14ac:dyDescent="0.3">
      <c r="A23" s="338">
        <v>6</v>
      </c>
      <c r="B23" s="349" t="s">
        <v>340</v>
      </c>
      <c r="C23" s="321"/>
      <c r="D23" s="321"/>
      <c r="E23" s="321"/>
      <c r="F23" s="321"/>
      <c r="G23" s="321"/>
      <c r="H23" s="339"/>
      <c r="I23" s="340">
        <v>0.03</v>
      </c>
    </row>
    <row r="24" spans="1:9" ht="15.75" x14ac:dyDescent="0.3">
      <c r="A24" s="341">
        <v>7</v>
      </c>
      <c r="B24" s="323" t="s">
        <v>341</v>
      </c>
      <c r="C24" s="324"/>
      <c r="D24" s="324"/>
      <c r="E24" s="324"/>
      <c r="F24" s="324"/>
      <c r="G24" s="324"/>
      <c r="H24" s="342"/>
      <c r="I24" s="343">
        <v>6.4999999999999997E-3</v>
      </c>
    </row>
    <row r="25" spans="1:9" ht="15.75" x14ac:dyDescent="0.3">
      <c r="A25" s="341">
        <v>8</v>
      </c>
      <c r="B25" s="323" t="s">
        <v>342</v>
      </c>
      <c r="C25" s="324"/>
      <c r="D25" s="324"/>
      <c r="E25" s="324"/>
      <c r="F25" s="324"/>
      <c r="G25" s="324"/>
      <c r="H25" s="342"/>
      <c r="I25" s="343">
        <v>0.03</v>
      </c>
    </row>
    <row r="26" spans="1:9" ht="16.5" thickBot="1" x14ac:dyDescent="0.35">
      <c r="A26" s="341">
        <v>9</v>
      </c>
      <c r="B26" s="323" t="s">
        <v>343</v>
      </c>
      <c r="C26" s="324"/>
      <c r="D26" s="324"/>
      <c r="E26" s="324"/>
      <c r="F26" s="324"/>
      <c r="G26" s="324"/>
      <c r="H26" s="342"/>
      <c r="I26" s="343">
        <v>4.4999999999999998E-2</v>
      </c>
    </row>
    <row r="27" spans="1:9" ht="16.5" thickBot="1" x14ac:dyDescent="0.35">
      <c r="A27" s="320"/>
      <c r="B27" s="321"/>
      <c r="C27" s="321"/>
      <c r="D27" s="321"/>
      <c r="E27" s="321"/>
      <c r="F27" s="321"/>
      <c r="G27" s="570" t="s">
        <v>344</v>
      </c>
      <c r="H27" s="571"/>
      <c r="I27" s="334">
        <f>SUM(I23:I26)</f>
        <v>0.1115</v>
      </c>
    </row>
    <row r="28" spans="1:9" ht="15.75" x14ac:dyDescent="0.3">
      <c r="A28" s="323"/>
      <c r="B28" s="324"/>
      <c r="C28" s="324"/>
      <c r="D28" s="324"/>
      <c r="E28" s="324"/>
      <c r="F28" s="324"/>
      <c r="G28" s="324"/>
      <c r="H28" s="324"/>
      <c r="I28" s="325"/>
    </row>
    <row r="29" spans="1:9" ht="15.75" x14ac:dyDescent="0.3">
      <c r="A29" s="323"/>
      <c r="B29" s="324"/>
      <c r="C29" s="324"/>
      <c r="D29" s="324"/>
      <c r="E29" s="324"/>
      <c r="F29" s="324"/>
      <c r="G29" s="324"/>
      <c r="H29" s="324"/>
      <c r="I29" s="325"/>
    </row>
    <row r="30" spans="1:9" ht="15.75" thickBot="1" x14ac:dyDescent="0.3">
      <c r="A30" s="561" t="s">
        <v>345</v>
      </c>
      <c r="B30" s="562"/>
      <c r="C30" s="562"/>
      <c r="D30" s="562"/>
      <c r="E30" s="562"/>
      <c r="F30" s="562"/>
      <c r="G30" s="562"/>
      <c r="H30" s="562"/>
      <c r="I30" s="563"/>
    </row>
    <row r="31" spans="1:9" ht="16.5" thickBot="1" x14ac:dyDescent="0.35">
      <c r="A31" s="331" t="s">
        <v>346</v>
      </c>
      <c r="B31" s="332"/>
      <c r="C31" s="332"/>
      <c r="D31" s="332"/>
      <c r="E31" s="332"/>
      <c r="F31" s="332"/>
      <c r="G31" s="332"/>
      <c r="H31" s="332"/>
      <c r="I31" s="350">
        <f>((1/(1-I27))*(1+I10)*(1+I18)*(1+I17)*(1+(I16+I15)))-1</f>
        <v>0.24412357991727629</v>
      </c>
    </row>
  </sheetData>
  <mergeCells count="7">
    <mergeCell ref="A30:I30"/>
    <mergeCell ref="A2:D2"/>
    <mergeCell ref="A5:I5"/>
    <mergeCell ref="A6:I6"/>
    <mergeCell ref="G11:H11"/>
    <mergeCell ref="G19:H19"/>
    <mergeCell ref="G27:H27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0B25B-2CAA-4453-82EA-D516A4DCDFC0}">
  <dimension ref="A1:F47"/>
  <sheetViews>
    <sheetView topLeftCell="A19" workbookViewId="0">
      <selection activeCell="C52" sqref="C52"/>
    </sheetView>
  </sheetViews>
  <sheetFormatPr defaultRowHeight="15" x14ac:dyDescent="0.25"/>
  <cols>
    <col min="2" max="2" width="72.5703125" bestFit="1" customWidth="1"/>
    <col min="3" max="3" width="11.7109375" bestFit="1" customWidth="1"/>
    <col min="4" max="4" width="15.42578125" bestFit="1" customWidth="1"/>
    <col min="5" max="5" width="11.7109375" bestFit="1" customWidth="1"/>
    <col min="6" max="6" width="15.42578125" bestFit="1" customWidth="1"/>
  </cols>
  <sheetData>
    <row r="1" spans="1:6" x14ac:dyDescent="0.25">
      <c r="A1" s="351"/>
      <c r="B1" s="352"/>
      <c r="C1" s="352"/>
      <c r="D1" s="352"/>
      <c r="E1" s="352"/>
      <c r="F1" s="352"/>
    </row>
    <row r="2" spans="1:6" ht="15" customHeight="1" x14ac:dyDescent="0.25">
      <c r="A2" s="493" t="s">
        <v>69</v>
      </c>
      <c r="B2" s="493"/>
      <c r="C2" s="493"/>
      <c r="D2" s="493"/>
      <c r="E2" s="354"/>
      <c r="F2" s="354"/>
    </row>
    <row r="3" spans="1:6" x14ac:dyDescent="0.25">
      <c r="A3" s="312" t="s">
        <v>322</v>
      </c>
      <c r="B3" s="312"/>
      <c r="C3" s="314"/>
      <c r="D3" s="315"/>
      <c r="E3" s="356"/>
      <c r="F3" s="357"/>
    </row>
    <row r="4" spans="1:6" ht="15.75" thickBot="1" x14ac:dyDescent="0.3">
      <c r="A4" s="313" t="s">
        <v>70</v>
      </c>
      <c r="B4" s="313"/>
      <c r="C4" s="317"/>
      <c r="D4" s="318"/>
      <c r="E4" s="358"/>
      <c r="F4" s="359"/>
    </row>
    <row r="5" spans="1:6" ht="15.75" customHeight="1" thickBot="1" x14ac:dyDescent="0.3">
      <c r="A5" s="360"/>
      <c r="B5" s="575" t="s">
        <v>347</v>
      </c>
      <c r="C5" s="575"/>
      <c r="D5" s="575"/>
      <c r="E5" s="575"/>
      <c r="F5" s="361"/>
    </row>
    <row r="6" spans="1:6" ht="15.75" customHeight="1" thickBot="1" x14ac:dyDescent="0.3">
      <c r="A6" s="362" t="s">
        <v>348</v>
      </c>
      <c r="B6" s="362" t="s">
        <v>349</v>
      </c>
      <c r="C6" s="572" t="s">
        <v>350</v>
      </c>
      <c r="D6" s="574"/>
      <c r="E6" s="572" t="s">
        <v>351</v>
      </c>
      <c r="F6" s="574"/>
    </row>
    <row r="7" spans="1:6" ht="15.75" thickBot="1" x14ac:dyDescent="0.3">
      <c r="A7" s="363"/>
      <c r="B7" s="364"/>
      <c r="C7" s="365" t="s">
        <v>352</v>
      </c>
      <c r="D7" s="365" t="s">
        <v>353</v>
      </c>
      <c r="E7" s="365" t="s">
        <v>352</v>
      </c>
      <c r="F7" s="365" t="s">
        <v>353</v>
      </c>
    </row>
    <row r="8" spans="1:6" x14ac:dyDescent="0.25">
      <c r="A8" s="576" t="s">
        <v>354</v>
      </c>
      <c r="B8" s="577"/>
      <c r="C8" s="577"/>
      <c r="D8" s="577"/>
      <c r="E8" s="577"/>
      <c r="F8" s="578"/>
    </row>
    <row r="9" spans="1:6" x14ac:dyDescent="0.25">
      <c r="A9" s="366" t="s">
        <v>355</v>
      </c>
      <c r="B9" s="367" t="s">
        <v>356</v>
      </c>
      <c r="C9" s="368">
        <v>0</v>
      </c>
      <c r="D9" s="369">
        <v>0</v>
      </c>
      <c r="E9" s="370">
        <v>0.2</v>
      </c>
      <c r="F9" s="371">
        <v>0.2</v>
      </c>
    </row>
    <row r="10" spans="1:6" x14ac:dyDescent="0.25">
      <c r="A10" s="366" t="s">
        <v>357</v>
      </c>
      <c r="B10" s="367" t="s">
        <v>358</v>
      </c>
      <c r="C10" s="369">
        <v>1.4999999999999999E-2</v>
      </c>
      <c r="D10" s="369">
        <v>1.4999999999999999E-2</v>
      </c>
      <c r="E10" s="370">
        <v>1.4999999999999999E-2</v>
      </c>
      <c r="F10" s="371">
        <v>1.4999999999999999E-2</v>
      </c>
    </row>
    <row r="11" spans="1:6" x14ac:dyDescent="0.25">
      <c r="A11" s="366" t="s">
        <v>359</v>
      </c>
      <c r="B11" s="367" t="s">
        <v>360</v>
      </c>
      <c r="C11" s="369">
        <v>0.01</v>
      </c>
      <c r="D11" s="369">
        <v>0.01</v>
      </c>
      <c r="E11" s="370">
        <v>0.01</v>
      </c>
      <c r="F11" s="371">
        <v>0.01</v>
      </c>
    </row>
    <row r="12" spans="1:6" x14ac:dyDescent="0.25">
      <c r="A12" s="366" t="s">
        <v>361</v>
      </c>
      <c r="B12" s="367" t="s">
        <v>362</v>
      </c>
      <c r="C12" s="369">
        <v>2E-3</v>
      </c>
      <c r="D12" s="369">
        <v>2E-3</v>
      </c>
      <c r="E12" s="370">
        <v>2E-3</v>
      </c>
      <c r="F12" s="371">
        <v>2E-3</v>
      </c>
    </row>
    <row r="13" spans="1:6" x14ac:dyDescent="0.25">
      <c r="A13" s="366" t="s">
        <v>363</v>
      </c>
      <c r="B13" s="367" t="s">
        <v>364</v>
      </c>
      <c r="C13" s="369">
        <v>6.0000000000000001E-3</v>
      </c>
      <c r="D13" s="369">
        <v>6.0000000000000001E-3</v>
      </c>
      <c r="E13" s="370">
        <v>6.0000000000000001E-3</v>
      </c>
      <c r="F13" s="371">
        <v>6.0000000000000001E-3</v>
      </c>
    </row>
    <row r="14" spans="1:6" x14ac:dyDescent="0.25">
      <c r="A14" s="366" t="s">
        <v>365</v>
      </c>
      <c r="B14" s="367" t="s">
        <v>366</v>
      </c>
      <c r="C14" s="369">
        <v>2.5000000000000001E-2</v>
      </c>
      <c r="D14" s="369">
        <v>2.5000000000000001E-2</v>
      </c>
      <c r="E14" s="370">
        <v>2.5000000000000001E-2</v>
      </c>
      <c r="F14" s="371">
        <v>2.5000000000000001E-2</v>
      </c>
    </row>
    <row r="15" spans="1:6" x14ac:dyDescent="0.25">
      <c r="A15" s="366" t="s">
        <v>367</v>
      </c>
      <c r="B15" s="367" t="s">
        <v>368</v>
      </c>
      <c r="C15" s="369">
        <v>0.03</v>
      </c>
      <c r="D15" s="369">
        <v>0.03</v>
      </c>
      <c r="E15" s="370">
        <v>0.03</v>
      </c>
      <c r="F15" s="371">
        <v>0.03</v>
      </c>
    </row>
    <row r="16" spans="1:6" x14ac:dyDescent="0.25">
      <c r="A16" s="366" t="s">
        <v>369</v>
      </c>
      <c r="B16" s="367" t="s">
        <v>370</v>
      </c>
      <c r="C16" s="369">
        <v>0.08</v>
      </c>
      <c r="D16" s="369">
        <v>0.08</v>
      </c>
      <c r="E16" s="370">
        <v>0.08</v>
      </c>
      <c r="F16" s="371">
        <v>0.08</v>
      </c>
    </row>
    <row r="17" spans="1:6" ht="15.75" thickBot="1" x14ac:dyDescent="0.3">
      <c r="A17" s="372" t="s">
        <v>371</v>
      </c>
      <c r="B17" s="373" t="s">
        <v>372</v>
      </c>
      <c r="C17" s="374">
        <v>0</v>
      </c>
      <c r="D17" s="375">
        <v>0</v>
      </c>
      <c r="E17" s="376">
        <v>0</v>
      </c>
      <c r="F17" s="377">
        <v>0</v>
      </c>
    </row>
    <row r="18" spans="1:6" ht="15.75" thickBot="1" x14ac:dyDescent="0.3">
      <c r="A18" s="378" t="s">
        <v>373</v>
      </c>
      <c r="B18" s="379" t="s">
        <v>374</v>
      </c>
      <c r="C18" s="380">
        <f>SUM(C9:C17)</f>
        <v>0.16799999999999998</v>
      </c>
      <c r="D18" s="381">
        <f>SUM(D9:D17)</f>
        <v>0.16799999999999998</v>
      </c>
      <c r="E18" s="382">
        <f>SUM(E9:E17)</f>
        <v>0.36800000000000005</v>
      </c>
      <c r="F18" s="383">
        <f>SUM(F9:F17)</f>
        <v>0.36800000000000005</v>
      </c>
    </row>
    <row r="19" spans="1:6" ht="15.75" thickBot="1" x14ac:dyDescent="0.3">
      <c r="A19" s="360"/>
      <c r="B19" s="384"/>
      <c r="C19" s="379"/>
      <c r="D19" s="384"/>
      <c r="E19" s="385"/>
      <c r="F19" s="386"/>
    </row>
    <row r="20" spans="1:6" ht="15.75" thickBot="1" x14ac:dyDescent="0.3">
      <c r="A20" s="572" t="s">
        <v>375</v>
      </c>
      <c r="B20" s="573"/>
      <c r="C20" s="573"/>
      <c r="D20" s="573"/>
      <c r="E20" s="573"/>
      <c r="F20" s="574"/>
    </row>
    <row r="21" spans="1:6" ht="15.75" thickBot="1" x14ac:dyDescent="0.3">
      <c r="A21" s="387" t="s">
        <v>376</v>
      </c>
      <c r="B21" s="388" t="s">
        <v>377</v>
      </c>
      <c r="C21" s="389">
        <v>0.17899999999999999</v>
      </c>
      <c r="D21" s="390" t="s">
        <v>378</v>
      </c>
      <c r="E21" s="391">
        <v>0.17899999999999999</v>
      </c>
      <c r="F21" s="392">
        <v>0</v>
      </c>
    </row>
    <row r="22" spans="1:6" x14ac:dyDescent="0.25">
      <c r="A22" s="366" t="s">
        <v>379</v>
      </c>
      <c r="B22" s="367" t="s">
        <v>380</v>
      </c>
      <c r="C22" s="369">
        <v>4.24E-2</v>
      </c>
      <c r="D22" s="390" t="s">
        <v>378</v>
      </c>
      <c r="E22" s="370">
        <v>4.24E-2</v>
      </c>
      <c r="F22" s="371">
        <v>0</v>
      </c>
    </row>
    <row r="23" spans="1:6" x14ac:dyDescent="0.25">
      <c r="A23" s="366" t="s">
        <v>381</v>
      </c>
      <c r="B23" s="367" t="s">
        <v>382</v>
      </c>
      <c r="C23" s="369">
        <v>9.1000000000000004E-3</v>
      </c>
      <c r="D23" s="369">
        <v>7.0000000000000001E-3</v>
      </c>
      <c r="E23" s="370">
        <v>9.1000000000000004E-3</v>
      </c>
      <c r="F23" s="371">
        <v>7.0000000000000001E-3</v>
      </c>
    </row>
    <row r="24" spans="1:6" x14ac:dyDescent="0.25">
      <c r="A24" s="366" t="s">
        <v>383</v>
      </c>
      <c r="B24" s="367" t="s">
        <v>384</v>
      </c>
      <c r="C24" s="369">
        <v>0.1082</v>
      </c>
      <c r="D24" s="369">
        <v>8.3299999999999999E-2</v>
      </c>
      <c r="E24" s="370">
        <v>0.1082</v>
      </c>
      <c r="F24" s="371">
        <v>8.3299999999999999E-2</v>
      </c>
    </row>
    <row r="25" spans="1:6" x14ac:dyDescent="0.25">
      <c r="A25" s="366" t="s">
        <v>385</v>
      </c>
      <c r="B25" s="367" t="s">
        <v>386</v>
      </c>
      <c r="C25" s="369">
        <v>5.9999999999999995E-4</v>
      </c>
      <c r="D25" s="369">
        <v>5.0000000000000001E-4</v>
      </c>
      <c r="E25" s="370">
        <v>5.9999999999999995E-4</v>
      </c>
      <c r="F25" s="371">
        <v>5.0000000000000001E-4</v>
      </c>
    </row>
    <row r="26" spans="1:6" x14ac:dyDescent="0.25">
      <c r="A26" s="366" t="s">
        <v>387</v>
      </c>
      <c r="B26" s="367" t="s">
        <v>388</v>
      </c>
      <c r="C26" s="369">
        <v>7.1999999999999998E-3</v>
      </c>
      <c r="D26" s="369">
        <v>5.5999999999999999E-3</v>
      </c>
      <c r="E26" s="370">
        <v>7.1999999999999998E-3</v>
      </c>
      <c r="F26" s="371">
        <v>5.5999999999999999E-3</v>
      </c>
    </row>
    <row r="27" spans="1:6" x14ac:dyDescent="0.25">
      <c r="A27" s="366" t="s">
        <v>389</v>
      </c>
      <c r="B27" s="367" t="s">
        <v>390</v>
      </c>
      <c r="C27" s="369">
        <v>1.35E-2</v>
      </c>
      <c r="D27" s="393" t="s">
        <v>378</v>
      </c>
      <c r="E27" s="370">
        <v>1.35E-2</v>
      </c>
      <c r="F27" s="394" t="s">
        <v>378</v>
      </c>
    </row>
    <row r="28" spans="1:6" x14ac:dyDescent="0.25">
      <c r="A28" s="366" t="s">
        <v>391</v>
      </c>
      <c r="B28" s="367" t="s">
        <v>392</v>
      </c>
      <c r="C28" s="369">
        <v>1.1000000000000001E-3</v>
      </c>
      <c r="D28" s="369">
        <v>8.0000000000000004E-4</v>
      </c>
      <c r="E28" s="370">
        <v>1.1000000000000001E-3</v>
      </c>
      <c r="F28" s="371">
        <v>8.0000000000000004E-4</v>
      </c>
    </row>
    <row r="29" spans="1:6" x14ac:dyDescent="0.25">
      <c r="A29" s="366" t="s">
        <v>393</v>
      </c>
      <c r="B29" s="367" t="s">
        <v>394</v>
      </c>
      <c r="C29" s="369">
        <v>8.6300000000000002E-2</v>
      </c>
      <c r="D29" s="369">
        <v>6.6500000000000004E-2</v>
      </c>
      <c r="E29" s="370">
        <v>8.6300000000000002E-2</v>
      </c>
      <c r="F29" s="371">
        <v>6.6500000000000004E-2</v>
      </c>
    </row>
    <row r="30" spans="1:6" ht="15.75" thickBot="1" x14ac:dyDescent="0.3">
      <c r="A30" s="372" t="s">
        <v>395</v>
      </c>
      <c r="B30" s="373" t="s">
        <v>396</v>
      </c>
      <c r="C30" s="375">
        <v>2.9999999999999997E-4</v>
      </c>
      <c r="D30" s="375">
        <v>2.0000000000000001E-4</v>
      </c>
      <c r="E30" s="376">
        <v>2.9999999999999997E-4</v>
      </c>
      <c r="F30" s="377">
        <v>2.0000000000000001E-4</v>
      </c>
    </row>
    <row r="31" spans="1:6" ht="15.75" thickBot="1" x14ac:dyDescent="0.3">
      <c r="A31" s="395" t="s">
        <v>397</v>
      </c>
      <c r="B31" s="396" t="s">
        <v>398</v>
      </c>
      <c r="C31" s="380">
        <f>SUM(C21:C30)</f>
        <v>0.44769999999999999</v>
      </c>
      <c r="D31" s="380">
        <f>SUM(D21:D30)</f>
        <v>0.16390000000000002</v>
      </c>
      <c r="E31" s="397">
        <f>SUM(E21:E30)</f>
        <v>0.44769999999999999</v>
      </c>
      <c r="F31" s="383">
        <f>SUM(F21:F30)</f>
        <v>0.16390000000000002</v>
      </c>
    </row>
    <row r="32" spans="1:6" ht="15.75" thickBot="1" x14ac:dyDescent="0.3">
      <c r="A32" s="398"/>
      <c r="B32" s="399"/>
      <c r="C32" s="399"/>
      <c r="D32" s="399"/>
      <c r="E32" s="400"/>
      <c r="F32" s="401"/>
    </row>
    <row r="33" spans="1:6" ht="15.75" thickBot="1" x14ac:dyDescent="0.3">
      <c r="A33" s="572" t="s">
        <v>399</v>
      </c>
      <c r="B33" s="573"/>
      <c r="C33" s="573"/>
      <c r="D33" s="573"/>
      <c r="E33" s="573"/>
      <c r="F33" s="574"/>
    </row>
    <row r="34" spans="1:6" x14ac:dyDescent="0.25">
      <c r="A34" s="402" t="s">
        <v>400</v>
      </c>
      <c r="B34" s="403" t="s">
        <v>401</v>
      </c>
      <c r="C34" s="404">
        <v>5.0200000000000002E-2</v>
      </c>
      <c r="D34" s="404">
        <v>3.8600000000000002E-2</v>
      </c>
      <c r="E34" s="405">
        <v>5.0200000000000002E-2</v>
      </c>
      <c r="F34" s="406">
        <v>3.8600000000000002E-2</v>
      </c>
    </row>
    <row r="35" spans="1:6" x14ac:dyDescent="0.25">
      <c r="A35" s="366" t="s">
        <v>402</v>
      </c>
      <c r="B35" s="367" t="s">
        <v>403</v>
      </c>
      <c r="C35" s="369">
        <v>1.1999999999999999E-3</v>
      </c>
      <c r="D35" s="369">
        <v>8.9999999999999998E-4</v>
      </c>
      <c r="E35" s="370">
        <v>1.1999999999999999E-3</v>
      </c>
      <c r="F35" s="371">
        <v>8.9999999999999998E-4</v>
      </c>
    </row>
    <row r="36" spans="1:6" x14ac:dyDescent="0.25">
      <c r="A36" s="366" t="s">
        <v>404</v>
      </c>
      <c r="B36" s="367" t="s">
        <v>405</v>
      </c>
      <c r="C36" s="369">
        <v>4.5100000000000001E-2</v>
      </c>
      <c r="D36" s="369">
        <v>3.4700000000000002E-2</v>
      </c>
      <c r="E36" s="370">
        <v>4.5100000000000001E-2</v>
      </c>
      <c r="F36" s="371">
        <v>3.4700000000000002E-2</v>
      </c>
    </row>
    <row r="37" spans="1:6" x14ac:dyDescent="0.25">
      <c r="A37" s="366" t="s">
        <v>406</v>
      </c>
      <c r="B37" s="367" t="s">
        <v>407</v>
      </c>
      <c r="C37" s="369">
        <v>4.58E-2</v>
      </c>
      <c r="D37" s="369">
        <v>3.5299999999999998E-2</v>
      </c>
      <c r="E37" s="370">
        <v>4.58E-2</v>
      </c>
      <c r="F37" s="371">
        <v>3.5299999999999998E-2</v>
      </c>
    </row>
    <row r="38" spans="1:6" ht="15.75" thickBot="1" x14ac:dyDescent="0.3">
      <c r="A38" s="372" t="s">
        <v>408</v>
      </c>
      <c r="B38" s="373" t="s">
        <v>409</v>
      </c>
      <c r="C38" s="375">
        <v>4.1999999999999997E-3</v>
      </c>
      <c r="D38" s="375">
        <v>3.3E-3</v>
      </c>
      <c r="E38" s="376">
        <v>4.1999999999999997E-3</v>
      </c>
      <c r="F38" s="377">
        <v>3.3E-3</v>
      </c>
    </row>
    <row r="39" spans="1:6" ht="15.75" thickBot="1" x14ac:dyDescent="0.3">
      <c r="A39" s="407" t="s">
        <v>410</v>
      </c>
      <c r="B39" s="408" t="s">
        <v>411</v>
      </c>
      <c r="C39" s="409">
        <f>SUM(C34:C38)</f>
        <v>0.14650000000000002</v>
      </c>
      <c r="D39" s="409">
        <f>SUM(D34:D38)</f>
        <v>0.1128</v>
      </c>
      <c r="E39" s="410">
        <f>SUM(E34:E38)</f>
        <v>0.14650000000000002</v>
      </c>
      <c r="F39" s="411">
        <f>SUM(F34:F38)</f>
        <v>0.1128</v>
      </c>
    </row>
    <row r="40" spans="1:6" ht="15.75" thickBot="1" x14ac:dyDescent="0.3">
      <c r="A40" s="398"/>
      <c r="B40" s="399"/>
      <c r="C40" s="399"/>
      <c r="D40" s="399"/>
      <c r="E40" s="400"/>
      <c r="F40" s="401"/>
    </row>
    <row r="41" spans="1:6" ht="15.75" thickBot="1" x14ac:dyDescent="0.3">
      <c r="A41" s="572" t="s">
        <v>412</v>
      </c>
      <c r="B41" s="573"/>
      <c r="C41" s="573"/>
      <c r="D41" s="573"/>
      <c r="E41" s="573"/>
      <c r="F41" s="574"/>
    </row>
    <row r="42" spans="1:6" x14ac:dyDescent="0.25">
      <c r="A42" s="387" t="s">
        <v>413</v>
      </c>
      <c r="B42" s="388" t="s">
        <v>414</v>
      </c>
      <c r="C42" s="412">
        <v>7.5200000000000003E-2</v>
      </c>
      <c r="D42" s="412">
        <v>2.75E-2</v>
      </c>
      <c r="E42" s="391">
        <v>0.1648</v>
      </c>
      <c r="F42" s="392">
        <v>6.0299999999999999E-2</v>
      </c>
    </row>
    <row r="43" spans="1:6" ht="27" thickBot="1" x14ac:dyDescent="0.3">
      <c r="A43" s="372" t="s">
        <v>415</v>
      </c>
      <c r="B43" s="413" t="s">
        <v>416</v>
      </c>
      <c r="C43" s="414">
        <v>4.1999999999999997E-3</v>
      </c>
      <c r="D43" s="414">
        <v>3.2000000000000002E-3</v>
      </c>
      <c r="E43" s="376">
        <v>4.4999999999999997E-3</v>
      </c>
      <c r="F43" s="377">
        <v>3.3999999999999998E-3</v>
      </c>
    </row>
    <row r="44" spans="1:6" ht="15.75" thickBot="1" x14ac:dyDescent="0.3">
      <c r="A44" s="360" t="s">
        <v>417</v>
      </c>
      <c r="B44" s="415" t="s">
        <v>418</v>
      </c>
      <c r="C44" s="416">
        <f>SUM(C42:C43)</f>
        <v>7.9399999999999998E-2</v>
      </c>
      <c r="D44" s="416">
        <f>SUM(D42:D43)</f>
        <v>3.0700000000000002E-2</v>
      </c>
      <c r="E44" s="417">
        <f>SUM(E42:E43)</f>
        <v>0.16930000000000001</v>
      </c>
      <c r="F44" s="411">
        <f>SUM(F42:F43)</f>
        <v>6.3699999999999993E-2</v>
      </c>
    </row>
    <row r="45" spans="1:6" ht="15.75" thickBot="1" x14ac:dyDescent="0.3">
      <c r="A45" s="395"/>
      <c r="B45" s="379"/>
      <c r="C45" s="379"/>
      <c r="D45" s="379"/>
      <c r="E45" s="418"/>
      <c r="F45" s="419"/>
    </row>
    <row r="46" spans="1:6" ht="15.75" thickBot="1" x14ac:dyDescent="0.3">
      <c r="A46" s="420"/>
      <c r="B46" s="421"/>
      <c r="C46" s="421"/>
      <c r="D46" s="421"/>
      <c r="E46" s="422"/>
      <c r="F46" s="421"/>
    </row>
    <row r="47" spans="1:6" ht="15.75" thickBot="1" x14ac:dyDescent="0.3">
      <c r="A47" s="572" t="s">
        <v>419</v>
      </c>
      <c r="B47" s="574"/>
      <c r="C47" s="423">
        <f>SUM(C18,C31,C39,C44,)</f>
        <v>0.84160000000000001</v>
      </c>
      <c r="D47" s="423">
        <f>SUM(D18,D31,D39,D44)</f>
        <v>0.47539999999999999</v>
      </c>
      <c r="E47" s="397">
        <f>E44+E39+E31+E18</f>
        <v>1.1315000000000002</v>
      </c>
      <c r="F47" s="397">
        <f>F44+F39+F31+F18</f>
        <v>0.70840000000000014</v>
      </c>
    </row>
  </sheetData>
  <mergeCells count="9">
    <mergeCell ref="A2:D2"/>
    <mergeCell ref="A33:F33"/>
    <mergeCell ref="A41:F41"/>
    <mergeCell ref="A47:B47"/>
    <mergeCell ref="B5:E5"/>
    <mergeCell ref="C6:D6"/>
    <mergeCell ref="E6:F6"/>
    <mergeCell ref="A8:F8"/>
    <mergeCell ref="A20:F2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2</vt:i4>
      </vt:variant>
    </vt:vector>
  </HeadingPairs>
  <TitlesOfParts>
    <vt:vector size="9" baseType="lpstr">
      <vt:lpstr>memória de cálculo</vt:lpstr>
      <vt:lpstr>Orçamento</vt:lpstr>
      <vt:lpstr>cronograma</vt:lpstr>
      <vt:lpstr>composição propria</vt:lpstr>
      <vt:lpstr>cotação de preço</vt:lpstr>
      <vt:lpstr>composição BDI</vt:lpstr>
      <vt:lpstr>leis sociais</vt:lpstr>
      <vt:lpstr>Orçamento!Area_de_impressao</vt:lpstr>
      <vt:lpstr>Orçamento!Titulos_de_impressao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REJANE</dc:creator>
  <cp:lastModifiedBy>REJANE</cp:lastModifiedBy>
  <cp:lastPrinted>2018-07-04T18:55:34Z</cp:lastPrinted>
  <dcterms:created xsi:type="dcterms:W3CDTF">2018-06-08T12:37:33Z</dcterms:created>
  <dcterms:modified xsi:type="dcterms:W3CDTF">2018-07-17T20:05:23Z</dcterms:modified>
</cp:coreProperties>
</file>