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 activeTab="1"/>
  </bookViews>
  <sheets>
    <sheet name="PLANILHA ALTERADA" sheetId="1" r:id="rId1"/>
    <sheet name="Planilha2" sheetId="2" r:id="rId2"/>
    <sheet name="Planilha3" sheetId="3" r:id="rId3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0" i="2" l="1"/>
  <c r="D20" i="2"/>
  <c r="C20" i="2"/>
  <c r="B20" i="2"/>
  <c r="E525" i="1"/>
  <c r="D526" i="1" s="1"/>
  <c r="E526" i="1" s="1"/>
  <c r="C525" i="1"/>
  <c r="E523" i="1"/>
  <c r="D524" i="1" s="1"/>
  <c r="E524" i="1" s="1"/>
  <c r="E515" i="1"/>
  <c r="E514" i="1"/>
  <c r="E513" i="1"/>
  <c r="E512" i="1"/>
  <c r="F516" i="1" s="1"/>
  <c r="F518" i="1" s="1"/>
  <c r="E39" i="1" s="1"/>
  <c r="E511" i="1"/>
  <c r="C502" i="1"/>
  <c r="C500" i="1"/>
  <c r="E500" i="1" s="1"/>
  <c r="D501" i="1" s="1"/>
  <c r="E501" i="1" s="1"/>
  <c r="D502" i="1" s="1"/>
  <c r="E502" i="1" s="1"/>
  <c r="F503" i="1" s="1"/>
  <c r="E38" i="1" s="1"/>
  <c r="E498" i="1"/>
  <c r="C492" i="1"/>
  <c r="E492" i="1" s="1"/>
  <c r="F493" i="1" s="1"/>
  <c r="E485" i="1"/>
  <c r="F487" i="1" s="1"/>
  <c r="E36" i="1" s="1"/>
  <c r="D485" i="1"/>
  <c r="C485" i="1"/>
  <c r="E475" i="1"/>
  <c r="E474" i="1"/>
  <c r="E462" i="1"/>
  <c r="D462" i="1"/>
  <c r="C455" i="1"/>
  <c r="D454" i="1"/>
  <c r="E454" i="1" s="1"/>
  <c r="D455" i="1" s="1"/>
  <c r="E455" i="1" s="1"/>
  <c r="E456" i="1" s="1"/>
  <c r="D457" i="1" s="1"/>
  <c r="E457" i="1" s="1"/>
  <c r="F458" i="1" s="1"/>
  <c r="E33" i="1" s="1"/>
  <c r="E451" i="1"/>
  <c r="D473" i="1" s="1"/>
  <c r="E473" i="1" s="1"/>
  <c r="D476" i="1" s="1"/>
  <c r="E476" i="1" s="1"/>
  <c r="F477" i="1" s="1"/>
  <c r="E35" i="1" s="1"/>
  <c r="C444" i="1"/>
  <c r="E442" i="1"/>
  <c r="C442" i="1"/>
  <c r="E440" i="1"/>
  <c r="D443" i="1" s="1"/>
  <c r="E443" i="1" s="1"/>
  <c r="D444" i="1" s="1"/>
  <c r="E434" i="1"/>
  <c r="F435" i="1" s="1"/>
  <c r="E30" i="1" s="1"/>
  <c r="C434" i="1"/>
  <c r="E428" i="1"/>
  <c r="D428" i="1"/>
  <c r="C428" i="1"/>
  <c r="D426" i="1"/>
  <c r="C426" i="1"/>
  <c r="E426" i="1" s="1"/>
  <c r="D424" i="1"/>
  <c r="C424" i="1"/>
  <c r="E424" i="1" s="1"/>
  <c r="E422" i="1"/>
  <c r="D422" i="1"/>
  <c r="C422" i="1"/>
  <c r="E420" i="1"/>
  <c r="D420" i="1"/>
  <c r="D429" i="1" s="1"/>
  <c r="E413" i="1"/>
  <c r="E405" i="1"/>
  <c r="D398" i="1"/>
  <c r="E393" i="1"/>
  <c r="D393" i="1"/>
  <c r="E389" i="1"/>
  <c r="C388" i="1"/>
  <c r="C404" i="1" s="1"/>
  <c r="C382" i="1"/>
  <c r="C398" i="1" s="1"/>
  <c r="E398" i="1" s="1"/>
  <c r="C381" i="1"/>
  <c r="D380" i="1"/>
  <c r="E380" i="1" s="1"/>
  <c r="D381" i="1" s="1"/>
  <c r="E381" i="1" s="1"/>
  <c r="E377" i="1"/>
  <c r="D409" i="1" s="1"/>
  <c r="E366" i="1"/>
  <c r="D364" i="1"/>
  <c r="E364" i="1" s="1"/>
  <c r="E363" i="1"/>
  <c r="D363" i="1"/>
  <c r="D362" i="1"/>
  <c r="E362" i="1" s="1"/>
  <c r="E361" i="1"/>
  <c r="D361" i="1"/>
  <c r="D360" i="1"/>
  <c r="E360" i="1" s="1"/>
  <c r="E359" i="1"/>
  <c r="D359" i="1"/>
  <c r="D358" i="1"/>
  <c r="E358" i="1" s="1"/>
  <c r="E353" i="1"/>
  <c r="C352" i="1"/>
  <c r="E352" i="1" s="1"/>
  <c r="F353" i="1" s="1"/>
  <c r="E351" i="1"/>
  <c r="E350" i="1"/>
  <c r="E349" i="1"/>
  <c r="E348" i="1"/>
  <c r="E347" i="1"/>
  <c r="E346" i="1"/>
  <c r="E345" i="1"/>
  <c r="E344" i="1"/>
  <c r="E343" i="1"/>
  <c r="E342" i="1"/>
  <c r="E341" i="1"/>
  <c r="D352" i="1" s="1"/>
  <c r="E330" i="1"/>
  <c r="C330" i="1"/>
  <c r="E329" i="1"/>
  <c r="C329" i="1"/>
  <c r="E328" i="1"/>
  <c r="C328" i="1"/>
  <c r="E327" i="1"/>
  <c r="C327" i="1"/>
  <c r="E326" i="1"/>
  <c r="C326" i="1"/>
  <c r="E325" i="1"/>
  <c r="C325" i="1"/>
  <c r="E324" i="1"/>
  <c r="C324" i="1"/>
  <c r="E323" i="1"/>
  <c r="F331" i="1" s="1"/>
  <c r="E22" i="1" s="1"/>
  <c r="C323" i="1"/>
  <c r="C317" i="1"/>
  <c r="E316" i="1"/>
  <c r="D316" i="1"/>
  <c r="C316" i="1"/>
  <c r="D315" i="1"/>
  <c r="C315" i="1"/>
  <c r="E315" i="1" s="1"/>
  <c r="C314" i="1"/>
  <c r="E314" i="1" s="1"/>
  <c r="C313" i="1"/>
  <c r="E312" i="1"/>
  <c r="D312" i="1"/>
  <c r="C312" i="1"/>
  <c r="C311" i="1"/>
  <c r="C310" i="1"/>
  <c r="E309" i="1"/>
  <c r="D309" i="1"/>
  <c r="C309" i="1"/>
  <c r="E302" i="1"/>
  <c r="E295" i="1"/>
  <c r="D295" i="1"/>
  <c r="E294" i="1"/>
  <c r="D296" i="1" s="1"/>
  <c r="E296" i="1" s="1"/>
  <c r="D294" i="1"/>
  <c r="E293" i="1"/>
  <c r="D297" i="1" s="1"/>
  <c r="E297" i="1" s="1"/>
  <c r="E284" i="1"/>
  <c r="D284" i="1"/>
  <c r="E281" i="1"/>
  <c r="D281" i="1"/>
  <c r="C281" i="1"/>
  <c r="D279" i="1"/>
  <c r="E279" i="1" s="1"/>
  <c r="E278" i="1"/>
  <c r="D278" i="1"/>
  <c r="C278" i="1"/>
  <c r="E276" i="1"/>
  <c r="D282" i="1" s="1"/>
  <c r="E282" i="1" s="1"/>
  <c r="D276" i="1"/>
  <c r="D275" i="1"/>
  <c r="C275" i="1"/>
  <c r="E275" i="1" s="1"/>
  <c r="D273" i="1"/>
  <c r="E272" i="1"/>
  <c r="E268" i="1"/>
  <c r="D263" i="1"/>
  <c r="E263" i="1" s="1"/>
  <c r="D261" i="1"/>
  <c r="E261" i="1" s="1"/>
  <c r="E260" i="1"/>
  <c r="D260" i="1"/>
  <c r="E259" i="1"/>
  <c r="E254" i="1"/>
  <c r="E251" i="1"/>
  <c r="E248" i="1"/>
  <c r="D248" i="1"/>
  <c r="E246" i="1"/>
  <c r="D246" i="1"/>
  <c r="D245" i="1"/>
  <c r="E245" i="1" s="1"/>
  <c r="E244" i="1"/>
  <c r="D313" i="1" s="1"/>
  <c r="E313" i="1" s="1"/>
  <c r="E235" i="1"/>
  <c r="D235" i="1"/>
  <c r="E232" i="1"/>
  <c r="D232" i="1"/>
  <c r="C232" i="1"/>
  <c r="E230" i="1"/>
  <c r="D230" i="1"/>
  <c r="D229" i="1"/>
  <c r="C229" i="1"/>
  <c r="E229" i="1" s="1"/>
  <c r="D233" i="1" s="1"/>
  <c r="E233" i="1" s="1"/>
  <c r="E227" i="1"/>
  <c r="D227" i="1"/>
  <c r="D226" i="1"/>
  <c r="C226" i="1"/>
  <c r="E226" i="1" s="1"/>
  <c r="E236" i="1" s="1"/>
  <c r="D224" i="1"/>
  <c r="E223" i="1"/>
  <c r="E219" i="1"/>
  <c r="E214" i="1"/>
  <c r="D214" i="1"/>
  <c r="E212" i="1"/>
  <c r="D212" i="1"/>
  <c r="E211" i="1"/>
  <c r="D213" i="1" s="1"/>
  <c r="E213" i="1" s="1"/>
  <c r="D211" i="1"/>
  <c r="E210" i="1"/>
  <c r="D311" i="1" s="1"/>
  <c r="E198" i="1"/>
  <c r="D198" i="1"/>
  <c r="C198" i="1"/>
  <c r="D196" i="1"/>
  <c r="E196" i="1" s="1"/>
  <c r="E195" i="1"/>
  <c r="D195" i="1"/>
  <c r="C195" i="1"/>
  <c r="E193" i="1"/>
  <c r="D199" i="1" s="1"/>
  <c r="E199" i="1" s="1"/>
  <c r="D193" i="1"/>
  <c r="D192" i="1"/>
  <c r="C192" i="1"/>
  <c r="E192" i="1" s="1"/>
  <c r="D201" i="1" s="1"/>
  <c r="E201" i="1" s="1"/>
  <c r="D190" i="1"/>
  <c r="E189" i="1"/>
  <c r="E202" i="1" s="1"/>
  <c r="E185" i="1"/>
  <c r="D178" i="1"/>
  <c r="E178" i="1" s="1"/>
  <c r="E177" i="1"/>
  <c r="D177" i="1"/>
  <c r="E176" i="1"/>
  <c r="D314" i="1" s="1"/>
  <c r="E171" i="1"/>
  <c r="E168" i="1"/>
  <c r="E163" i="1"/>
  <c r="D163" i="1"/>
  <c r="D162" i="1"/>
  <c r="E162" i="1" s="1"/>
  <c r="E161" i="1"/>
  <c r="E156" i="1"/>
  <c r="C155" i="1"/>
  <c r="D151" i="1"/>
  <c r="E151" i="1" s="1"/>
  <c r="D149" i="1"/>
  <c r="E149" i="1" s="1"/>
  <c r="E148" i="1"/>
  <c r="D148" i="1"/>
  <c r="E147" i="1"/>
  <c r="E143" i="1"/>
  <c r="C142" i="1"/>
  <c r="C138" i="1"/>
  <c r="C135" i="1"/>
  <c r="C132" i="1"/>
  <c r="C129" i="1"/>
  <c r="D127" i="1"/>
  <c r="E125" i="1"/>
  <c r="D124" i="1"/>
  <c r="D132" i="1" s="1"/>
  <c r="C119" i="1"/>
  <c r="E115" i="1"/>
  <c r="D115" i="1"/>
  <c r="E112" i="1"/>
  <c r="E111" i="1"/>
  <c r="D111" i="1"/>
  <c r="E110" i="1"/>
  <c r="D110" i="1"/>
  <c r="D109" i="1"/>
  <c r="E107" i="1"/>
  <c r="E103" i="1"/>
  <c r="C102" i="1"/>
  <c r="E100" i="1"/>
  <c r="C97" i="1"/>
  <c r="D95" i="1"/>
  <c r="C95" i="1"/>
  <c r="E95" i="1" s="1"/>
  <c r="C92" i="1"/>
  <c r="D90" i="1"/>
  <c r="E90" i="1" s="1"/>
  <c r="C89" i="1"/>
  <c r="E87" i="1"/>
  <c r="D87" i="1"/>
  <c r="D92" i="1" s="1"/>
  <c r="E92" i="1" s="1"/>
  <c r="E83" i="1"/>
  <c r="C82" i="1"/>
  <c r="E80" i="1"/>
  <c r="E77" i="1"/>
  <c r="D77" i="1"/>
  <c r="E75" i="1"/>
  <c r="D75" i="1"/>
  <c r="E74" i="1"/>
  <c r="D76" i="1" s="1"/>
  <c r="E76" i="1" s="1"/>
  <c r="D74" i="1"/>
  <c r="E73" i="1"/>
  <c r="D310" i="1" s="1"/>
  <c r="A64" i="1"/>
  <c r="E61" i="1"/>
  <c r="A41" i="1"/>
  <c r="A40" i="1"/>
  <c r="A39" i="1"/>
  <c r="E37" i="1"/>
  <c r="A31" i="1"/>
  <c r="A30" i="1"/>
  <c r="A29" i="1"/>
  <c r="A28" i="1"/>
  <c r="A27" i="1"/>
  <c r="A26" i="1"/>
  <c r="A25" i="1"/>
  <c r="A24" i="1"/>
  <c r="A23" i="1"/>
  <c r="A10" i="1"/>
  <c r="A9" i="1"/>
  <c r="A8" i="1"/>
  <c r="A7" i="1"/>
  <c r="A6" i="1"/>
  <c r="E166" i="1" l="1"/>
  <c r="D164" i="1"/>
  <c r="E164" i="1" s="1"/>
  <c r="E264" i="1"/>
  <c r="E285" i="1"/>
  <c r="E310" i="1"/>
  <c r="E238" i="1"/>
  <c r="D239" i="1" s="1"/>
  <c r="E239" i="1" s="1"/>
  <c r="F240" i="1" s="1"/>
  <c r="E16" i="1" s="1"/>
  <c r="D237" i="1"/>
  <c r="E237" i="1" s="1"/>
  <c r="E311" i="1"/>
  <c r="C411" i="1"/>
  <c r="E411" i="1" s="1"/>
  <c r="C409" i="1"/>
  <c r="E409" i="1" s="1"/>
  <c r="C410" i="1"/>
  <c r="E410" i="1" s="1"/>
  <c r="F430" i="1"/>
  <c r="E29" i="1" s="1"/>
  <c r="E444" i="1"/>
  <c r="F445" i="1" s="1"/>
  <c r="E31" i="1" s="1"/>
  <c r="F527" i="1"/>
  <c r="F529" i="1" s="1"/>
  <c r="E40" i="1" s="1"/>
  <c r="D203" i="1"/>
  <c r="E203" i="1" s="1"/>
  <c r="E204" i="1" s="1"/>
  <c r="D205" i="1" s="1"/>
  <c r="E205" i="1" s="1"/>
  <c r="F206" i="1" s="1"/>
  <c r="E14" i="1" s="1"/>
  <c r="E132" i="1"/>
  <c r="D165" i="1"/>
  <c r="E165" i="1" s="1"/>
  <c r="D247" i="1"/>
  <c r="E247" i="1" s="1"/>
  <c r="E249" i="1" s="1"/>
  <c r="E78" i="1"/>
  <c r="D93" i="1"/>
  <c r="E93" i="1" s="1"/>
  <c r="D96" i="1" s="1"/>
  <c r="E96" i="1" s="1"/>
  <c r="D97" i="1"/>
  <c r="E97" i="1" s="1"/>
  <c r="E124" i="1"/>
  <c r="D130" i="1"/>
  <c r="E130" i="1" s="1"/>
  <c r="D135" i="1"/>
  <c r="E135" i="1" s="1"/>
  <c r="E215" i="1"/>
  <c r="E298" i="1"/>
  <c r="D365" i="1"/>
  <c r="E365" i="1" s="1"/>
  <c r="F366" i="1" s="1"/>
  <c r="F368" i="1" s="1"/>
  <c r="E23" i="1" s="1"/>
  <c r="E382" i="1"/>
  <c r="D89" i="1"/>
  <c r="E89" i="1" s="1"/>
  <c r="D133" i="1"/>
  <c r="E133" i="1" s="1"/>
  <c r="D138" i="1"/>
  <c r="E138" i="1" s="1"/>
  <c r="D150" i="1"/>
  <c r="E150" i="1" s="1"/>
  <c r="E152" i="1" s="1"/>
  <c r="D179" i="1"/>
  <c r="E179" i="1" s="1"/>
  <c r="D180" i="1" s="1"/>
  <c r="E180" i="1" s="1"/>
  <c r="D262" i="1"/>
  <c r="E262" i="1" s="1"/>
  <c r="D317" i="1"/>
  <c r="E317" i="1" s="1"/>
  <c r="C395" i="1"/>
  <c r="C396" i="1" s="1"/>
  <c r="D397" i="1" s="1"/>
  <c r="E397" i="1" s="1"/>
  <c r="C464" i="1"/>
  <c r="C465" i="1" s="1"/>
  <c r="D466" i="1" s="1"/>
  <c r="E466" i="1" s="1"/>
  <c r="E467" i="1" s="1"/>
  <c r="D468" i="1" s="1"/>
  <c r="E468" i="1" s="1"/>
  <c r="F469" i="1" s="1"/>
  <c r="E34" i="1" s="1"/>
  <c r="D126" i="1"/>
  <c r="E126" i="1" s="1"/>
  <c r="D129" i="1"/>
  <c r="E129" i="1" s="1"/>
  <c r="D113" i="1"/>
  <c r="E113" i="1" s="1"/>
  <c r="E116" i="1" s="1"/>
  <c r="E118" i="1" l="1"/>
  <c r="D119" i="1" s="1"/>
  <c r="E119" i="1" s="1"/>
  <c r="F120" i="1" s="1"/>
  <c r="E9" i="1" s="1"/>
  <c r="D117" i="1"/>
  <c r="E117" i="1" s="1"/>
  <c r="D153" i="1"/>
  <c r="E153" i="1" s="1"/>
  <c r="E154" i="1" s="1"/>
  <c r="D155" i="1" s="1"/>
  <c r="E155" i="1" s="1"/>
  <c r="F156" i="1" s="1"/>
  <c r="E11" i="1" s="1"/>
  <c r="D250" i="1"/>
  <c r="E250" i="1" s="1"/>
  <c r="E252" i="1" s="1"/>
  <c r="D253" i="1" s="1"/>
  <c r="E253" i="1" s="1"/>
  <c r="F254" i="1" s="1"/>
  <c r="E17" i="1" s="1"/>
  <c r="E98" i="1"/>
  <c r="E217" i="1"/>
  <c r="D218" i="1" s="1"/>
  <c r="E218" i="1" s="1"/>
  <c r="F219" i="1" s="1"/>
  <c r="E15" i="1" s="1"/>
  <c r="D216" i="1"/>
  <c r="E216" i="1" s="1"/>
  <c r="D286" i="1"/>
  <c r="E286" i="1" s="1"/>
  <c r="E287" i="1" s="1"/>
  <c r="D288" i="1" s="1"/>
  <c r="E288" i="1" s="1"/>
  <c r="F289" i="1" s="1"/>
  <c r="E19" i="1" s="1"/>
  <c r="D265" i="1"/>
  <c r="E265" i="1" s="1"/>
  <c r="E266" i="1" s="1"/>
  <c r="D267" i="1" s="1"/>
  <c r="E267" i="1" s="1"/>
  <c r="F268" i="1" s="1"/>
  <c r="E18" i="1" s="1"/>
  <c r="D136" i="1"/>
  <c r="E136" i="1" s="1"/>
  <c r="E139" i="1" s="1"/>
  <c r="D79" i="1"/>
  <c r="E79" i="1" s="1"/>
  <c r="E81" i="1"/>
  <c r="D82" i="1" s="1"/>
  <c r="E82" i="1" s="1"/>
  <c r="F83" i="1" s="1"/>
  <c r="E7" i="1" s="1"/>
  <c r="E181" i="1"/>
  <c r="D412" i="1"/>
  <c r="E412" i="1" s="1"/>
  <c r="F413" i="1" s="1"/>
  <c r="E28" i="1" s="1"/>
  <c r="E169" i="1"/>
  <c r="D170" i="1" s="1"/>
  <c r="E170" i="1" s="1"/>
  <c r="F171" i="1" s="1"/>
  <c r="E12" i="1" s="1"/>
  <c r="D167" i="1"/>
  <c r="E167" i="1" s="1"/>
  <c r="D385" i="1"/>
  <c r="E385" i="1" s="1"/>
  <c r="D386" i="1" s="1"/>
  <c r="E386" i="1" s="1"/>
  <c r="E387" i="1" s="1"/>
  <c r="D388" i="1" s="1"/>
  <c r="E388" i="1" s="1"/>
  <c r="F389" i="1" s="1"/>
  <c r="C400" i="1"/>
  <c r="D299" i="1"/>
  <c r="E299" i="1" s="1"/>
  <c r="E300" i="1" s="1"/>
  <c r="D301" i="1" s="1"/>
  <c r="E301" i="1" s="1"/>
  <c r="F302" i="1" s="1"/>
  <c r="E20" i="1" s="1"/>
  <c r="F319" i="1"/>
  <c r="E32" i="1"/>
  <c r="D140" i="1" l="1"/>
  <c r="E140" i="1" s="1"/>
  <c r="E141" i="1" s="1"/>
  <c r="D142" i="1" s="1"/>
  <c r="E142" i="1" s="1"/>
  <c r="F143" i="1" s="1"/>
  <c r="E10" i="1" s="1"/>
  <c r="E21" i="1"/>
  <c r="C401" i="1"/>
  <c r="D402" i="1" s="1"/>
  <c r="E402" i="1" s="1"/>
  <c r="E403" i="1" s="1"/>
  <c r="D404" i="1" s="1"/>
  <c r="E404" i="1" s="1"/>
  <c r="F405" i="1" s="1"/>
  <c r="E27" i="1" s="1"/>
  <c r="E26" i="1"/>
  <c r="D182" i="1"/>
  <c r="E182" i="1" s="1"/>
  <c r="E183" i="1" s="1"/>
  <c r="D184" i="1" s="1"/>
  <c r="E184" i="1" s="1"/>
  <c r="F185" i="1" s="1"/>
  <c r="D99" i="1"/>
  <c r="E99" i="1" s="1"/>
  <c r="E101" i="1" s="1"/>
  <c r="D102" i="1" s="1"/>
  <c r="E102" i="1" s="1"/>
  <c r="F103" i="1" s="1"/>
  <c r="E8" i="1" s="1"/>
  <c r="E13" i="1" l="1"/>
  <c r="F333" i="1"/>
  <c r="E25" i="1"/>
  <c r="F506" i="1"/>
  <c r="E24" i="1" s="1"/>
  <c r="F531" i="1" l="1"/>
  <c r="E6" i="1"/>
  <c r="E42" i="1" l="1"/>
  <c r="F6" i="1"/>
  <c r="D536" i="1"/>
  <c r="E536" i="1" s="1"/>
  <c r="F537" i="1" s="1"/>
  <c r="F539" i="1" s="1"/>
  <c r="E41" i="1" s="1"/>
  <c r="F41" i="1" l="1"/>
  <c r="F30" i="1"/>
  <c r="F37" i="1"/>
  <c r="F38" i="1"/>
  <c r="F36" i="1"/>
  <c r="F33" i="1"/>
  <c r="F22" i="1"/>
  <c r="F39" i="1"/>
  <c r="F35" i="1"/>
  <c r="F14" i="1"/>
  <c r="F16" i="1"/>
  <c r="F23" i="1"/>
  <c r="F42" i="1" s="1"/>
  <c r="F40" i="1"/>
  <c r="F29" i="1"/>
  <c r="F34" i="1"/>
  <c r="F31" i="1"/>
  <c r="F19" i="1"/>
  <c r="F32" i="1"/>
  <c r="F28" i="1"/>
  <c r="F20" i="1"/>
  <c r="F21" i="1"/>
  <c r="F11" i="1"/>
  <c r="F18" i="1"/>
  <c r="F12" i="1"/>
  <c r="F9" i="1"/>
  <c r="F17" i="1"/>
  <c r="F7" i="1"/>
  <c r="F15" i="1"/>
  <c r="F8" i="1"/>
  <c r="F26" i="1"/>
  <c r="F10" i="1"/>
  <c r="F27" i="1"/>
  <c r="F13" i="1"/>
  <c r="F24" i="1"/>
  <c r="F25" i="1"/>
  <c r="F542" i="1"/>
  <c r="F547" i="1" s="1"/>
</calcChain>
</file>

<file path=xl/sharedStrings.xml><?xml version="1.0" encoding="utf-8"?>
<sst xmlns="http://schemas.openxmlformats.org/spreadsheetml/2006/main" count="882" uniqueCount="256">
  <si>
    <t xml:space="preserve">1. Coleta de Resíduos Sólidos </t>
  </si>
  <si>
    <t>Planilha de Composição de Custos</t>
  </si>
  <si>
    <t>Orçamento Sintético</t>
  </si>
  <si>
    <t>Descrição do Item</t>
  </si>
  <si>
    <t>Custo (R$/mês)</t>
  </si>
  <si>
    <t>%</t>
  </si>
  <si>
    <t>1.5. Supervisor</t>
  </si>
  <si>
    <t>1.6. Técnico Administrativo</t>
  </si>
  <si>
    <t>1.7. Fiscal Turno Dia</t>
  </si>
  <si>
    <t>1.8. Fiscal Turno Noite</t>
  </si>
  <si>
    <t>1.9. Mecânico Turno Dia</t>
  </si>
  <si>
    <t>1.10. Mecãnico Turno Noite</t>
  </si>
  <si>
    <t>1.11. Auxiliar de Serviços Gerais</t>
  </si>
  <si>
    <t>1.12. Auxiliar Mecânica Dia</t>
  </si>
  <si>
    <t>1.13. Auxiliar Mecânica Noite</t>
  </si>
  <si>
    <t>1.14. Técnico em Seguranca do Trabalho</t>
  </si>
  <si>
    <t>1.15. Vale Transporte</t>
  </si>
  <si>
    <t>1.16. Vale Refeição (Diário)</t>
  </si>
  <si>
    <t>3.2. Veículo (Apoio Operacional)</t>
  </si>
  <si>
    <t>3.2.1. Depreciação</t>
  </si>
  <si>
    <t>3.2.2. Remuneração do Capital</t>
  </si>
  <si>
    <t>3.2.3. Impostos e Seguros</t>
  </si>
  <si>
    <t>3.2.4. Consumos</t>
  </si>
  <si>
    <t>3.2.5. Manutenção</t>
  </si>
  <si>
    <t>3.2.6. Pneus</t>
  </si>
  <si>
    <t>PREÇO TOTAL MENSAL COM A COLETA</t>
  </si>
  <si>
    <t>Quantitativos</t>
  </si>
  <si>
    <t>Mão-de-obra</t>
  </si>
  <si>
    <t>Quantidade</t>
  </si>
  <si>
    <t>Coletor Turno Dia</t>
  </si>
  <si>
    <t>Coletor Turno Noite</t>
  </si>
  <si>
    <t>Motorista Turno do Dia</t>
  </si>
  <si>
    <t>Motorista Turno do Noite</t>
  </si>
  <si>
    <t>Mecânico Turno Dia</t>
  </si>
  <si>
    <t>Mecânico Turno Noite</t>
  </si>
  <si>
    <t>Auxiliar Mecânico Turno Dia</t>
  </si>
  <si>
    <t>Auxiliar Mecânico Turno Noite</t>
  </si>
  <si>
    <t>Auxiliar de Serviços Gerais Turno Dia</t>
  </si>
  <si>
    <t>Fiscal Diurno</t>
  </si>
  <si>
    <t>Fiscal Noturno</t>
  </si>
  <si>
    <t>Técnico Administrativo</t>
  </si>
  <si>
    <t>Encarregado de Coleta</t>
  </si>
  <si>
    <t>Técnico de Segurança do Trabalho</t>
  </si>
  <si>
    <t>Total de mão-de-obra (postos de trabalho)</t>
  </si>
  <si>
    <t>Veículos e Equipamentos</t>
  </si>
  <si>
    <t>Fator de utilização (FU)</t>
  </si>
  <si>
    <t>1. Mão-de-obra</t>
  </si>
  <si>
    <t>1.1. Coletor Turno Dia</t>
  </si>
  <si>
    <t>Discriminação</t>
  </si>
  <si>
    <t>Unidade</t>
  </si>
  <si>
    <t>Custo unitário</t>
  </si>
  <si>
    <t>Subtotal</t>
  </si>
  <si>
    <t>Total (R$)</t>
  </si>
  <si>
    <t>Piso da categoria</t>
  </si>
  <si>
    <t>mês</t>
  </si>
  <si>
    <t>Horas Extras (100%)</t>
  </si>
  <si>
    <t>hora</t>
  </si>
  <si>
    <t>Horas Extras (50%)</t>
  </si>
  <si>
    <t>Descanso Semanal Remunerado (DSR) - hora extra</t>
  </si>
  <si>
    <t>R$</t>
  </si>
  <si>
    <t>Adicional de Insalubridade</t>
  </si>
  <si>
    <t>Soma</t>
  </si>
  <si>
    <t>Encargos Sociais</t>
  </si>
  <si>
    <t>Plano de Benefício Familiar</t>
  </si>
  <si>
    <t>Total por Coletor</t>
  </si>
  <si>
    <t>Total do Efetivo</t>
  </si>
  <si>
    <t>homem</t>
  </si>
  <si>
    <t>Fator de utilização</t>
  </si>
  <si>
    <t>1.2. Coletor Turno Noite</t>
  </si>
  <si>
    <t>Adicional Noturno</t>
  </si>
  <si>
    <t>horas trabalhadas</t>
  </si>
  <si>
    <t>hora contabilizada</t>
  </si>
  <si>
    <t>Horas Extras Noturnas (100%)</t>
  </si>
  <si>
    <t>Horas Extras Noturnas (50%)</t>
  </si>
  <si>
    <t>1.3. Motorista Turno do Dia</t>
  </si>
  <si>
    <t>Piso da categoria (1)</t>
  </si>
  <si>
    <t>Salário mínimo nacional (2)</t>
  </si>
  <si>
    <t>Seguro de Vida</t>
  </si>
  <si>
    <t xml:space="preserve">Abono Salarial </t>
  </si>
  <si>
    <t>Base de cálculo da Insalubridade</t>
  </si>
  <si>
    <t>Total por Motorista</t>
  </si>
  <si>
    <t>fator de Utilização</t>
  </si>
  <si>
    <t>1.4. Motorista Turno Noite</t>
  </si>
  <si>
    <t>Salário mínimo nacional</t>
  </si>
  <si>
    <t>1.5.Supervisor (Encarregado de Coleta)</t>
  </si>
  <si>
    <t>Total por Supervisor</t>
  </si>
  <si>
    <t>Total por Técnico Administrativo</t>
  </si>
  <si>
    <t>1.7.Fiscal Turno Dia</t>
  </si>
  <si>
    <t>Total por Fiscal Diurno</t>
  </si>
  <si>
    <t>Salário Mínimo Nacional</t>
  </si>
  <si>
    <t>Horas trabalhadas</t>
  </si>
  <si>
    <t>Hora Contabilizada</t>
  </si>
  <si>
    <t>hora trabalhada</t>
  </si>
  <si>
    <t>Base de Cálculo da Insalubridade</t>
  </si>
  <si>
    <t>Total por Fiscal Noturno</t>
  </si>
  <si>
    <t>Fator utilização</t>
  </si>
  <si>
    <t>Total por Mecânico</t>
  </si>
  <si>
    <t>1.11. Auxiliar Serviços Gerais Diurno</t>
  </si>
  <si>
    <t>Total por Auxiliar de Serviços Gerais</t>
  </si>
  <si>
    <t>1.12. Auxiliar Mecânico Diurno</t>
  </si>
  <si>
    <t>1.13. Auxiliar MecânicoTurno Noite</t>
  </si>
  <si>
    <t>1.14. Técnico em Segurança do Trabalho</t>
  </si>
  <si>
    <t>Total por Técnico em Segurança do Trabalho</t>
  </si>
  <si>
    <t>1.17. Vale Transporte</t>
  </si>
  <si>
    <t>Vale Transporte</t>
  </si>
  <si>
    <t>Dias Trabalhados por mês</t>
  </si>
  <si>
    <t>dia</t>
  </si>
  <si>
    <t>Motorista</t>
  </si>
  <si>
    <t>vale</t>
  </si>
  <si>
    <t>Coletor</t>
  </si>
  <si>
    <t>Mecânico</t>
  </si>
  <si>
    <t>Auxiliar Mecânico</t>
  </si>
  <si>
    <t>Auxiliar de Serviços Gerais</t>
  </si>
  <si>
    <t>Fiscal</t>
  </si>
  <si>
    <t>1.18. Vale-refeição (diário)</t>
  </si>
  <si>
    <t>unidade</t>
  </si>
  <si>
    <t>Custo Mensal com Mão-de-obra (R$/mês)</t>
  </si>
  <si>
    <t>2. Uniformes e Equipamentos de Proteção Individual</t>
  </si>
  <si>
    <t>2.1. Uniformes e EPIs para Coletor</t>
  </si>
  <si>
    <t>Durabilidade (meses)</t>
  </si>
  <si>
    <t>Jaqueta com reflexivo (NBR 15.292)</t>
  </si>
  <si>
    <t>Calça</t>
  </si>
  <si>
    <t>Camiseta</t>
  </si>
  <si>
    <t>Boné</t>
  </si>
  <si>
    <t>Botina de segurança c/ palmilha aço</t>
  </si>
  <si>
    <t>par</t>
  </si>
  <si>
    <t>Meia de algodão com cano alto</t>
  </si>
  <si>
    <t>Capa de chuva amarela com reflexivo</t>
  </si>
  <si>
    <t>Colete reflexivo</t>
  </si>
  <si>
    <t>Luva de proteção</t>
  </si>
  <si>
    <t>Protetor solar FPS 30</t>
  </si>
  <si>
    <t>frasco 120g</t>
  </si>
  <si>
    <t>Higienização de uniformes e EPIs</t>
  </si>
  <si>
    <t>R$ mensal</t>
  </si>
  <si>
    <t>2.2. Uniformes e EPIs para demais categorias</t>
  </si>
  <si>
    <t>Custo Mensal com Uniformes e EPIs (R$/mês)</t>
  </si>
  <si>
    <t>3. Veículos e Equipamentos</t>
  </si>
  <si>
    <t>3.1. Veículo Coletor Compactador 15 m³</t>
  </si>
  <si>
    <t>3.1.1. Depreciação</t>
  </si>
  <si>
    <t>Custo de aquisição do chassis</t>
  </si>
  <si>
    <t>Vida útil do chassis</t>
  </si>
  <si>
    <t>anos</t>
  </si>
  <si>
    <t>Idade do veículo</t>
  </si>
  <si>
    <t>Depreciação do chassis</t>
  </si>
  <si>
    <t>Depreciação mensal veículos coletores</t>
  </si>
  <si>
    <t>Custo de aquisição do compactador</t>
  </si>
  <si>
    <t>Vida útil do compactador</t>
  </si>
  <si>
    <t>Idade do compactador</t>
  </si>
  <si>
    <t>Depreciação do compactador</t>
  </si>
  <si>
    <t>Depreciação mensal do compactador</t>
  </si>
  <si>
    <t>Total por veículo</t>
  </si>
  <si>
    <t>Total da frota</t>
  </si>
  <si>
    <t>3.1.2. Remuneração do Capital</t>
  </si>
  <si>
    <t>Custo do chassis</t>
  </si>
  <si>
    <t>Taxa de juros anual nominal</t>
  </si>
  <si>
    <t>Valor do veículo proposto (V0)</t>
  </si>
  <si>
    <t>Investimento médio total do chassis</t>
  </si>
  <si>
    <t>Remuneração mensal de capital do chassis</t>
  </si>
  <si>
    <t>Custo do compactador</t>
  </si>
  <si>
    <t>Valor do compactador proposto (V0)</t>
  </si>
  <si>
    <t>Investimento médio total do compactador</t>
  </si>
  <si>
    <t>Remuneração mensal de capital do compactador</t>
  </si>
  <si>
    <t>3.1.3. Impostos e Seguros</t>
  </si>
  <si>
    <t>IPVA</t>
  </si>
  <si>
    <t>Licenciamento e Seguro obrigatório</t>
  </si>
  <si>
    <t>Seguro contra terceiros</t>
  </si>
  <si>
    <t>Impostos e seguros mensais</t>
  </si>
  <si>
    <t>3.1.4. Consumos</t>
  </si>
  <si>
    <t>Quilometragem mensal</t>
  </si>
  <si>
    <t>Consumo</t>
  </si>
  <si>
    <t>Custo de óleo diesel / km rodado</t>
  </si>
  <si>
    <t>km/l</t>
  </si>
  <si>
    <t>Custo mensal com óleo diesel</t>
  </si>
  <si>
    <t>km</t>
  </si>
  <si>
    <t>Custo de óleo do motor /1.000 km rodados</t>
  </si>
  <si>
    <t>l/1.000 km</t>
  </si>
  <si>
    <t>Custo mensal com óleo do motor</t>
  </si>
  <si>
    <t>Custo de óleo da transmissão /1.000 km</t>
  </si>
  <si>
    <t>Custo mensal com óleo da transmissão</t>
  </si>
  <si>
    <t>Custo de óleo hidráulico / 1.000 km</t>
  </si>
  <si>
    <t>Custo mensal com óleo hidráulico</t>
  </si>
  <si>
    <t>Custo de graxa /1.000 km rodados</t>
  </si>
  <si>
    <t>kg/1.000 km</t>
  </si>
  <si>
    <t>Custo mensal com graxa</t>
  </si>
  <si>
    <t>Custo com consumos/km rodado</t>
  </si>
  <si>
    <t>R$/km rodado</t>
  </si>
  <si>
    <t>3.1.5. Manutenção</t>
  </si>
  <si>
    <t>Custo de manutenção dos caminhões</t>
  </si>
  <si>
    <t>3.1.6. Pneus</t>
  </si>
  <si>
    <t>Custo do jogo de pneus  275/80 R22,5</t>
  </si>
  <si>
    <t>Número de recapagens por pneu</t>
  </si>
  <si>
    <t>Custo de recapagem</t>
  </si>
  <si>
    <t>Custo jg. compl. + recap./ km rodado</t>
  </si>
  <si>
    <t>km/jogo</t>
  </si>
  <si>
    <t>Custo mensal com pneus</t>
  </si>
  <si>
    <t>Total por Veículo</t>
  </si>
  <si>
    <t>Total da Frota</t>
  </si>
  <si>
    <t>fator de utilização</t>
  </si>
  <si>
    <t>3.2.2. Remuneração de Capital</t>
  </si>
  <si>
    <t>Seguro contra Terceiros</t>
  </si>
  <si>
    <t>Quilometragem Mensal</t>
  </si>
  <si>
    <t>Custo de gasolina / km rodado</t>
  </si>
  <si>
    <t>Custo mensal com gasolina</t>
  </si>
  <si>
    <t>Custo da Manutenção dos veículos de apoio</t>
  </si>
  <si>
    <t>R$/Km rodado</t>
  </si>
  <si>
    <t>Custo do jogo de pneus 175/70 R14</t>
  </si>
  <si>
    <t>Custo Mensal com Veículos e Equipamentos (R$/mês)</t>
  </si>
  <si>
    <t>4. Ferramentas e Materiais de Consumo</t>
  </si>
  <si>
    <t>Recipiente térmico para água (5L)</t>
  </si>
  <si>
    <t>Pá de Concha</t>
  </si>
  <si>
    <t>Vassoura</t>
  </si>
  <si>
    <t>Publicidade (adesivos equipamentos)</t>
  </si>
  <si>
    <t>cj</t>
  </si>
  <si>
    <t>Publicidade (adesivos veículos)</t>
  </si>
  <si>
    <t>Custo Mensal com Ferramentas e Materiais de Consumo (R$/mês)</t>
  </si>
  <si>
    <t>5. Monitoramento da Frota</t>
  </si>
  <si>
    <t>Implantação dos equipamentos de monitoramento</t>
  </si>
  <si>
    <t>Custo mensal com implantação</t>
  </si>
  <si>
    <t>Manutenção dos equipamentos de monitoramento</t>
  </si>
  <si>
    <t>Custo mensal com manutenção</t>
  </si>
  <si>
    <t>Custo Mensal com Monitoramento da Frota (R$/mês)</t>
  </si>
  <si>
    <t>CUSTO TOTAL MENSAL COM DESPESAS OPERACIONAIS (R$/mês)</t>
  </si>
  <si>
    <t>6. Benefícios e Despesas Indiretas - BDI</t>
  </si>
  <si>
    <t>Benefícios e despesas indiretas</t>
  </si>
  <si>
    <t>CUSTO MENSAL COM BDI (R$/mês)</t>
  </si>
  <si>
    <t>PREÇO MENSAL TOTAL (R$/mês)</t>
  </si>
  <si>
    <t xml:space="preserve">Quantidade média de resíduos coletados por mês: </t>
  </si>
  <si>
    <t>toneladas</t>
  </si>
  <si>
    <t>PREÇO POR TONELADA COLETADA:  [A/B]</t>
  </si>
  <si>
    <t>R$/tonelada</t>
  </si>
  <si>
    <t>motorista Dia</t>
  </si>
  <si>
    <t xml:space="preserve">motorista Noturno  </t>
  </si>
  <si>
    <t>coletor diurno</t>
  </si>
  <si>
    <t xml:space="preserve">coletor Noturno </t>
  </si>
  <si>
    <t>Setor 01</t>
  </si>
  <si>
    <t>Setor 02</t>
  </si>
  <si>
    <t>Setor 03</t>
  </si>
  <si>
    <t>Setor 04</t>
  </si>
  <si>
    <t>Setor 05</t>
  </si>
  <si>
    <t>Setor 06</t>
  </si>
  <si>
    <t>Setor 07</t>
  </si>
  <si>
    <t>Setor 08</t>
  </si>
  <si>
    <t>Setor 09</t>
  </si>
  <si>
    <t>Setor 10</t>
  </si>
  <si>
    <t>Setor 11</t>
  </si>
  <si>
    <t>ter/qui/sa</t>
  </si>
  <si>
    <t>Setor 12</t>
  </si>
  <si>
    <t>Setor 13</t>
  </si>
  <si>
    <t>Setor 14</t>
  </si>
  <si>
    <t>Setor 15</t>
  </si>
  <si>
    <t>Setor 16</t>
  </si>
  <si>
    <t>todos dias</t>
  </si>
  <si>
    <t>Setor 17</t>
  </si>
  <si>
    <t>Setor 18</t>
  </si>
  <si>
    <t>seg/quat/sex</t>
  </si>
  <si>
    <t>totais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</si>
</sst>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\-??_-;_-@_-"/>
    <numFmt numFmtId="165" formatCode="_(* #,##0.00_);_(* \(#,##0.00\);_(* \-??_);_(@_)"/>
    <numFmt numFmtId="166" formatCode="&quot;R$ &quot;#,##0.00"/>
    <numFmt numFmtId="167" formatCode="&quot;R$ &quot;#,##0.00_);&quot;(R$ &quot;#,##0.00\)"/>
    <numFmt numFmtId="168" formatCode="dd/mm/yy"/>
    <numFmt numFmtId="169" formatCode="_(* #,##0_);_(* \(#,##0\);_(* \-??_);_(@_)"/>
    <numFmt numFmtId="170" formatCode="_(* #,##0.000_);_(* \(#,##0.000\);_(* \-??_);_(@_)"/>
    <numFmt numFmtId="171" formatCode="#,##0.000_ ;\-#,##0.000\ "/>
  </numFmts>
  <fonts count="15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b/>
      <sz val="9"/>
      <name val="Arial"/>
      <family val="2"/>
      <charset val="1"/>
    </font>
    <font>
      <sz val="8"/>
      <name val="Arial"/>
      <family val="2"/>
      <charset val="1"/>
    </font>
    <font>
      <u/>
      <sz val="10"/>
      <color rgb="FF0000FF"/>
      <name val="Arial"/>
      <family val="2"/>
      <charset val="1"/>
    </font>
    <font>
      <sz val="9"/>
      <name val="Arial"/>
      <family val="2"/>
      <charset val="1"/>
    </font>
    <font>
      <sz val="10"/>
      <color rgb="FFFF0000"/>
      <name val="Arial"/>
      <family val="2"/>
      <charset val="1"/>
    </font>
    <font>
      <sz val="13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  <fill>
      <patternFill patternType="solid">
        <fgColor rgb="FFC0C0C0"/>
        <bgColor rgb="FFAFABAB"/>
      </patternFill>
    </fill>
    <fill>
      <patternFill patternType="solid">
        <fgColor rgb="FFAFABAB"/>
        <bgColor rgb="FFC0C0C0"/>
      </patternFill>
    </fill>
    <fill>
      <patternFill patternType="solid">
        <fgColor rgb="FF767171"/>
        <bgColor rgb="FF666699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164" fontId="14" fillId="0" borderId="0" applyBorder="0" applyProtection="0"/>
    <xf numFmtId="9" fontId="14" fillId="0" borderId="0" applyBorder="0" applyProtection="0"/>
    <xf numFmtId="0" fontId="10" fillId="0" borderId="0" applyBorder="0" applyProtection="0"/>
  </cellStyleXfs>
  <cellXfs count="223">
    <xf numFmtId="0" fontId="0" fillId="0" borderId="0" xfId="0"/>
    <xf numFmtId="0" fontId="13" fillId="0" borderId="34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164" fontId="6" fillId="0" borderId="19" xfId="1" applyFont="1" applyBorder="1" applyAlignment="1" applyProtection="1">
      <alignment horizontal="center" vertical="center"/>
    </xf>
    <xf numFmtId="164" fontId="6" fillId="0" borderId="10" xfId="1" applyFont="1" applyBorder="1" applyAlignment="1" applyProtection="1">
      <alignment horizontal="left" vertical="center"/>
    </xf>
    <xf numFmtId="164" fontId="5" fillId="2" borderId="5" xfId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1" applyFont="1" applyBorder="1" applyAlignment="1" applyProtection="1">
      <alignment vertical="center"/>
    </xf>
    <xf numFmtId="164" fontId="3" fillId="0" borderId="0" xfId="1" applyFont="1" applyBorder="1" applyAlignment="1" applyProtection="1">
      <alignment vertical="center"/>
    </xf>
    <xf numFmtId="0" fontId="3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1" applyFont="1" applyBorder="1" applyAlignment="1" applyProtection="1">
      <alignment vertical="center"/>
    </xf>
    <xf numFmtId="164" fontId="0" fillId="0" borderId="4" xfId="1" applyFont="1" applyBorder="1" applyAlignment="1" applyProtection="1">
      <alignment vertical="center"/>
    </xf>
    <xf numFmtId="0" fontId="0" fillId="0" borderId="0" xfId="0" applyAlignment="1">
      <alignment vertical="center"/>
    </xf>
    <xf numFmtId="164" fontId="6" fillId="0" borderId="6" xfId="1" applyFont="1" applyBorder="1" applyAlignment="1" applyProtection="1">
      <alignment horizontal="center" vertical="center"/>
    </xf>
    <xf numFmtId="164" fontId="0" fillId="0" borderId="7" xfId="1" applyFont="1" applyBorder="1" applyAlignment="1" applyProtection="1">
      <alignment vertical="center"/>
    </xf>
    <xf numFmtId="164" fontId="6" fillId="0" borderId="7" xfId="1" applyFont="1" applyBorder="1" applyAlignment="1" applyProtection="1">
      <alignment vertical="center"/>
    </xf>
    <xf numFmtId="164" fontId="6" fillId="0" borderId="8" xfId="1" applyFont="1" applyBorder="1" applyAlignment="1" applyProtection="1">
      <alignment vertical="center"/>
    </xf>
    <xf numFmtId="164" fontId="6" fillId="0" borderId="9" xfId="1" applyFont="1" applyBorder="1" applyAlignment="1" applyProtection="1">
      <alignment horizontal="center" vertical="center"/>
    </xf>
    <xf numFmtId="164" fontId="6" fillId="0" borderId="10" xfId="1" applyFont="1" applyBorder="1" applyAlignment="1" applyProtection="1">
      <alignment vertical="center"/>
    </xf>
    <xf numFmtId="165" fontId="6" fillId="0" borderId="11" xfId="0" applyNumberFormat="1" applyFont="1" applyBorder="1" applyAlignment="1">
      <alignment vertical="center"/>
    </xf>
    <xf numFmtId="164" fontId="6" fillId="0" borderId="11" xfId="1" applyFont="1" applyBorder="1" applyAlignment="1" applyProtection="1">
      <alignment vertical="center"/>
    </xf>
    <xf numFmtId="166" fontId="6" fillId="0" borderId="12" xfId="0" applyNumberFormat="1" applyFont="1" applyBorder="1" applyAlignment="1">
      <alignment vertical="center"/>
    </xf>
    <xf numFmtId="10" fontId="6" fillId="0" borderId="13" xfId="2" applyNumberFormat="1" applyFont="1" applyBorder="1" applyAlignment="1" applyProtection="1">
      <alignment vertical="center"/>
    </xf>
    <xf numFmtId="164" fontId="6" fillId="0" borderId="0" xfId="1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164" fontId="0" fillId="0" borderId="10" xfId="1" applyFont="1" applyBorder="1" applyAlignment="1" applyProtection="1">
      <alignment vertical="center"/>
    </xf>
    <xf numFmtId="165" fontId="0" fillId="0" borderId="11" xfId="0" applyNumberFormat="1" applyBorder="1" applyAlignment="1">
      <alignment vertical="center"/>
    </xf>
    <xf numFmtId="164" fontId="0" fillId="0" borderId="11" xfId="1" applyFont="1" applyBorder="1" applyAlignment="1" applyProtection="1">
      <alignment vertical="center"/>
    </xf>
    <xf numFmtId="166" fontId="0" fillId="0" borderId="12" xfId="0" applyNumberFormat="1" applyBorder="1" applyAlignment="1">
      <alignment vertical="center"/>
    </xf>
    <xf numFmtId="10" fontId="0" fillId="0" borderId="13" xfId="2" applyNumberFormat="1" applyFont="1" applyBorder="1" applyAlignment="1" applyProtection="1">
      <alignment vertical="center"/>
    </xf>
    <xf numFmtId="164" fontId="1" fillId="0" borderId="10" xfId="1" applyFont="1" applyBorder="1" applyAlignment="1" applyProtection="1">
      <alignment vertical="center"/>
    </xf>
    <xf numFmtId="164" fontId="6" fillId="0" borderId="10" xfId="1" applyFont="1" applyBorder="1" applyAlignment="1" applyProtection="1">
      <alignment horizontal="left" vertical="center"/>
    </xf>
    <xf numFmtId="4" fontId="6" fillId="0" borderId="11" xfId="0" applyNumberFormat="1" applyFont="1" applyBorder="1" applyAlignment="1">
      <alignment horizontal="center" vertical="center"/>
    </xf>
    <xf numFmtId="164" fontId="1" fillId="0" borderId="10" xfId="1" applyFont="1" applyBorder="1" applyAlignment="1" applyProtection="1">
      <alignment horizontal="left" vertical="center"/>
    </xf>
    <xf numFmtId="4" fontId="0" fillId="0" borderId="11" xfId="0" applyNumberFormat="1" applyBorder="1" applyAlignment="1">
      <alignment horizontal="center" vertical="center"/>
    </xf>
    <xf numFmtId="10" fontId="1" fillId="0" borderId="13" xfId="2" applyNumberFormat="1" applyFont="1" applyBorder="1" applyAlignment="1" applyProtection="1">
      <alignment vertical="center"/>
    </xf>
    <xf numFmtId="166" fontId="6" fillId="0" borderId="14" xfId="0" applyNumberFormat="1" applyFont="1" applyBorder="1" applyAlignment="1">
      <alignment vertical="center"/>
    </xf>
    <xf numFmtId="164" fontId="6" fillId="0" borderId="15" xfId="1" applyFont="1" applyBorder="1" applyAlignment="1" applyProtection="1">
      <alignment horizontal="left" vertical="center"/>
    </xf>
    <xf numFmtId="4" fontId="6" fillId="0" borderId="16" xfId="0" applyNumberFormat="1" applyFont="1" applyBorder="1" applyAlignment="1">
      <alignment horizontal="center" vertical="center"/>
    </xf>
    <xf numFmtId="164" fontId="6" fillId="0" borderId="16" xfId="1" applyFont="1" applyBorder="1" applyAlignment="1" applyProtection="1">
      <alignment vertical="center"/>
    </xf>
    <xf numFmtId="167" fontId="6" fillId="3" borderId="17" xfId="0" applyNumberFormat="1" applyFont="1" applyFill="1" applyBorder="1" applyAlignment="1">
      <alignment vertical="center"/>
    </xf>
    <xf numFmtId="9" fontId="6" fillId="3" borderId="18" xfId="2" applyFont="1" applyFill="1" applyBorder="1" applyAlignment="1" applyProtection="1">
      <alignment vertical="center"/>
    </xf>
    <xf numFmtId="164" fontId="6" fillId="0" borderId="20" xfId="1" applyFont="1" applyBorder="1" applyAlignment="1" applyProtection="1">
      <alignment horizontal="right" vertical="center"/>
    </xf>
    <xf numFmtId="164" fontId="1" fillId="0" borderId="12" xfId="1" applyFont="1" applyBorder="1" applyAlignment="1" applyProtection="1">
      <alignment vertical="center"/>
    </xf>
    <xf numFmtId="164" fontId="1" fillId="0" borderId="21" xfId="1" applyFont="1" applyBorder="1" applyAlignment="1" applyProtection="1">
      <alignment vertical="center"/>
    </xf>
    <xf numFmtId="0" fontId="0" fillId="0" borderId="12" xfId="0" applyBorder="1" applyAlignment="1">
      <alignment vertical="center"/>
    </xf>
    <xf numFmtId="1" fontId="1" fillId="0" borderId="9" xfId="1" applyNumberFormat="1" applyFont="1" applyBorder="1" applyAlignment="1" applyProtection="1">
      <alignment horizontal="center" vertical="center"/>
    </xf>
    <xf numFmtId="1" fontId="1" fillId="4" borderId="22" xfId="1" applyNumberFormat="1" applyFont="1" applyFill="1" applyBorder="1" applyAlignment="1" applyProtection="1">
      <alignment horizontal="center" vertical="center"/>
    </xf>
    <xf numFmtId="164" fontId="7" fillId="0" borderId="12" xfId="1" applyFont="1" applyBorder="1" applyAlignment="1" applyProtection="1">
      <alignment vertical="center"/>
    </xf>
    <xf numFmtId="0" fontId="0" fillId="0" borderId="21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168" fontId="1" fillId="0" borderId="12" xfId="1" applyNumberFormat="1" applyFont="1" applyBorder="1" applyAlignment="1" applyProtection="1">
      <alignment vertical="center"/>
    </xf>
    <xf numFmtId="164" fontId="6" fillId="0" borderId="23" xfId="1" applyFont="1" applyBorder="1" applyAlignment="1" applyProtection="1">
      <alignment vertical="center"/>
    </xf>
    <xf numFmtId="4" fontId="6" fillId="0" borderId="24" xfId="0" applyNumberFormat="1" applyFont="1" applyBorder="1" applyAlignment="1">
      <alignment vertical="center"/>
    </xf>
    <xf numFmtId="0" fontId="0" fillId="0" borderId="24" xfId="0" applyBorder="1" applyAlignment="1">
      <alignment vertical="center"/>
    </xf>
    <xf numFmtId="1" fontId="6" fillId="4" borderId="25" xfId="1" applyNumberFormat="1" applyFont="1" applyFill="1" applyBorder="1" applyAlignment="1" applyProtection="1">
      <alignment horizontal="center" vertical="center"/>
    </xf>
    <xf numFmtId="164" fontId="6" fillId="0" borderId="3" xfId="1" applyFont="1" applyBorder="1" applyAlignment="1" applyProtection="1">
      <alignment vertical="center"/>
    </xf>
    <xf numFmtId="4" fontId="6" fillId="0" borderId="0" xfId="0" applyNumberFormat="1" applyFont="1" applyAlignment="1">
      <alignment vertical="center"/>
    </xf>
    <xf numFmtId="164" fontId="1" fillId="0" borderId="4" xfId="1" applyFont="1" applyBorder="1" applyAlignment="1" applyProtection="1">
      <alignment vertical="center"/>
    </xf>
    <xf numFmtId="0" fontId="1" fillId="0" borderId="12" xfId="0" applyFont="1" applyBorder="1" applyAlignment="1">
      <alignment vertical="center"/>
    </xf>
    <xf numFmtId="1" fontId="1" fillId="0" borderId="12" xfId="1" applyNumberFormat="1" applyFont="1" applyBorder="1" applyAlignment="1" applyProtection="1">
      <alignment horizontal="center" vertical="center"/>
    </xf>
    <xf numFmtId="169" fontId="1" fillId="0" borderId="0" xfId="1" applyNumberFormat="1" applyFont="1" applyBorder="1" applyAlignment="1" applyProtection="1">
      <alignment horizontal="center" vertical="center"/>
    </xf>
    <xf numFmtId="164" fontId="6" fillId="0" borderId="15" xfId="1" applyFont="1" applyBorder="1" applyAlignment="1" applyProtection="1">
      <alignment vertical="center"/>
    </xf>
    <xf numFmtId="9" fontId="6" fillId="0" borderId="26" xfId="2" applyFont="1" applyBorder="1" applyAlignment="1" applyProtection="1">
      <alignment vertical="center"/>
    </xf>
    <xf numFmtId="169" fontId="6" fillId="0" borderId="0" xfId="1" applyNumberFormat="1" applyFont="1" applyBorder="1" applyAlignment="1" applyProtection="1">
      <alignment horizontal="center" vertical="center"/>
    </xf>
    <xf numFmtId="0" fontId="5" fillId="2" borderId="5" xfId="0" applyFont="1" applyFill="1" applyBorder="1" applyAlignment="1">
      <alignment vertical="center"/>
    </xf>
    <xf numFmtId="0" fontId="5" fillId="5" borderId="0" xfId="0" applyFont="1" applyFill="1" applyAlignment="1">
      <alignment vertical="center"/>
    </xf>
    <xf numFmtId="0" fontId="8" fillId="6" borderId="27" xfId="0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/>
    </xf>
    <xf numFmtId="164" fontId="8" fillId="6" borderId="28" xfId="1" applyFont="1" applyFill="1" applyBorder="1" applyAlignment="1" applyProtection="1">
      <alignment horizontal="center" vertical="center"/>
    </xf>
    <xf numFmtId="164" fontId="8" fillId="6" borderId="18" xfId="1" applyFont="1" applyFill="1" applyBorder="1" applyAlignment="1" applyProtection="1">
      <alignment horizontal="center" vertical="center"/>
    </xf>
    <xf numFmtId="0" fontId="1" fillId="4" borderId="29" xfId="0" applyFont="1" applyFill="1" applyBorder="1" applyAlignment="1">
      <alignment vertical="center"/>
    </xf>
    <xf numFmtId="0" fontId="1" fillId="4" borderId="29" xfId="0" applyFont="1" applyFill="1" applyBorder="1" applyAlignment="1">
      <alignment horizontal="center" vertical="center"/>
    </xf>
    <xf numFmtId="4" fontId="0" fillId="4" borderId="0" xfId="0" applyNumberFormat="1" applyFill="1"/>
    <xf numFmtId="164" fontId="1" fillId="4" borderId="29" xfId="1" applyFont="1" applyFill="1" applyBorder="1" applyAlignment="1" applyProtection="1">
      <alignment horizontal="center" vertical="center"/>
    </xf>
    <xf numFmtId="164" fontId="1" fillId="4" borderId="0" xfId="1" applyFont="1" applyFill="1" applyBorder="1" applyAlignment="1" applyProtection="1">
      <alignment vertical="center"/>
    </xf>
    <xf numFmtId="0" fontId="1" fillId="4" borderId="12" xfId="0" applyFont="1" applyFill="1" applyBorder="1" applyAlignment="1">
      <alignment vertical="center"/>
    </xf>
    <xf numFmtId="0" fontId="1" fillId="4" borderId="12" xfId="0" applyFont="1" applyFill="1" applyBorder="1" applyAlignment="1">
      <alignment horizontal="center" vertical="center"/>
    </xf>
    <xf numFmtId="164" fontId="1" fillId="4" borderId="12" xfId="1" applyFont="1" applyFill="1" applyBorder="1" applyAlignment="1" applyProtection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6" fillId="4" borderId="30" xfId="0" applyFont="1" applyFill="1" applyBorder="1" applyAlignment="1">
      <alignment vertical="center"/>
    </xf>
    <xf numFmtId="0" fontId="6" fillId="4" borderId="0" xfId="0" applyFont="1" applyFill="1" applyAlignment="1">
      <alignment horizontal="center" vertical="center"/>
    </xf>
    <xf numFmtId="164" fontId="6" fillId="4" borderId="0" xfId="1" applyFont="1" applyFill="1" applyBorder="1" applyAlignment="1" applyProtection="1">
      <alignment horizontal="center" vertical="center"/>
    </xf>
    <xf numFmtId="164" fontId="6" fillId="4" borderId="30" xfId="1" applyFont="1" applyFill="1" applyBorder="1" applyAlignment="1" applyProtection="1">
      <alignment horizontal="center" vertical="center"/>
    </xf>
    <xf numFmtId="0" fontId="1" fillId="4" borderId="12" xfId="1" applyNumberFormat="1" applyFont="1" applyFill="1" applyBorder="1" applyAlignment="1" applyProtection="1">
      <alignment horizontal="center" vertical="center"/>
    </xf>
    <xf numFmtId="1" fontId="1" fillId="4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1" applyFont="1" applyBorder="1" applyAlignment="1" applyProtection="1">
      <alignment horizontal="right" vertical="center"/>
    </xf>
    <xf numFmtId="164" fontId="1" fillId="4" borderId="31" xfId="1" applyFont="1" applyFill="1" applyBorder="1" applyAlignment="1" applyProtection="1">
      <alignment vertical="center"/>
    </xf>
    <xf numFmtId="164" fontId="6" fillId="3" borderId="5" xfId="1" applyFont="1" applyFill="1" applyBorder="1" applyAlignment="1" applyProtection="1">
      <alignment horizontal="center" vertical="center"/>
    </xf>
    <xf numFmtId="0" fontId="1" fillId="0" borderId="29" xfId="0" applyFont="1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164" fontId="1" fillId="0" borderId="29" xfId="1" applyFont="1" applyBorder="1" applyAlignment="1" applyProtection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12" xfId="1" applyFont="1" applyBorder="1" applyAlignment="1" applyProtection="1">
      <alignment horizontal="center" vertical="center"/>
    </xf>
    <xf numFmtId="2" fontId="1" fillId="0" borderId="12" xfId="1" applyNumberFormat="1" applyFont="1" applyBorder="1" applyAlignment="1" applyProtection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1" applyFont="1" applyBorder="1" applyAlignment="1" applyProtection="1">
      <alignment horizontal="center" vertical="center"/>
    </xf>
    <xf numFmtId="164" fontId="6" fillId="0" borderId="30" xfId="1" applyFont="1" applyBorder="1" applyAlignment="1" applyProtection="1">
      <alignment horizontal="center" vertical="center"/>
    </xf>
    <xf numFmtId="0" fontId="1" fillId="0" borderId="12" xfId="1" applyNumberFormat="1" applyFont="1" applyBorder="1" applyAlignment="1" applyProtection="1">
      <alignment horizontal="center" vertical="center"/>
    </xf>
    <xf numFmtId="164" fontId="1" fillId="0" borderId="31" xfId="1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164" fontId="6" fillId="0" borderId="12" xfId="1" applyFont="1" applyBorder="1" applyAlignment="1" applyProtection="1">
      <alignment horizontal="center" vertical="center"/>
    </xf>
    <xf numFmtId="0" fontId="6" fillId="0" borderId="11" xfId="0" applyFont="1" applyBorder="1" applyAlignment="1">
      <alignment horizontal="center" vertical="center"/>
    </xf>
    <xf numFmtId="164" fontId="6" fillId="0" borderId="11" xfId="1" applyFont="1" applyBorder="1" applyAlignment="1" applyProtection="1">
      <alignment horizontal="center" vertical="center"/>
    </xf>
    <xf numFmtId="164" fontId="1" fillId="0" borderId="12" xfId="1" applyFont="1" applyBorder="1" applyAlignment="1" applyProtection="1">
      <alignment horizontal="left" vertical="center"/>
    </xf>
    <xf numFmtId="0" fontId="1" fillId="0" borderId="30" xfId="0" applyFont="1" applyBorder="1" applyAlignment="1">
      <alignment vertical="center"/>
    </xf>
    <xf numFmtId="0" fontId="1" fillId="0" borderId="30" xfId="0" applyFont="1" applyBorder="1" applyAlignment="1">
      <alignment horizontal="center" vertical="center"/>
    </xf>
    <xf numFmtId="1" fontId="1" fillId="4" borderId="30" xfId="0" applyNumberFormat="1" applyFont="1" applyFill="1" applyBorder="1" applyAlignment="1">
      <alignment horizontal="center" vertical="center"/>
    </xf>
    <xf numFmtId="164" fontId="1" fillId="0" borderId="30" xfId="1" applyFont="1" applyBorder="1" applyAlignment="1" applyProtection="1">
      <alignment horizontal="center" vertical="center"/>
    </xf>
    <xf numFmtId="164" fontId="1" fillId="0" borderId="12" xfId="1" applyFont="1" applyBorder="1" applyAlignment="1" applyProtection="1">
      <alignment horizontal="right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64" fontId="8" fillId="0" borderId="17" xfId="1" applyFont="1" applyBorder="1" applyAlignment="1" applyProtection="1">
      <alignment horizontal="center" vertical="center"/>
    </xf>
    <xf numFmtId="164" fontId="8" fillId="0" borderId="5" xfId="1" applyFont="1" applyBorder="1" applyAlignment="1" applyProtection="1">
      <alignment horizontal="center" vertical="center"/>
    </xf>
    <xf numFmtId="164" fontId="1" fillId="0" borderId="31" xfId="1" applyFont="1" applyBorder="1" applyAlignment="1" applyProtection="1">
      <alignment horizontal="center" vertical="center"/>
    </xf>
    <xf numFmtId="164" fontId="1" fillId="0" borderId="0" xfId="1" applyFont="1" applyBorder="1" applyAlignment="1" applyProtection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164" fontId="8" fillId="0" borderId="32" xfId="1" applyFont="1" applyBorder="1" applyAlignment="1" applyProtection="1">
      <alignment horizontal="center" vertical="center"/>
    </xf>
    <xf numFmtId="164" fontId="8" fillId="0" borderId="18" xfId="1" applyFont="1" applyBorder="1" applyAlignment="1" applyProtection="1">
      <alignment horizontal="center" vertical="center"/>
    </xf>
    <xf numFmtId="164" fontId="1" fillId="4" borderId="12" xfId="1" applyFont="1" applyFill="1" applyBorder="1" applyAlignment="1" applyProtection="1">
      <alignment vertical="center"/>
    </xf>
    <xf numFmtId="164" fontId="6" fillId="0" borderId="12" xfId="1" applyFont="1" applyBorder="1" applyAlignment="1" applyProtection="1">
      <alignment vertical="center"/>
    </xf>
    <xf numFmtId="164" fontId="6" fillId="3" borderId="5" xfId="1" applyFont="1" applyFill="1" applyBorder="1" applyAlignment="1" applyProtection="1">
      <alignment vertical="center"/>
    </xf>
    <xf numFmtId="0" fontId="8" fillId="6" borderId="19" xfId="0" applyFont="1" applyFill="1" applyBorder="1" applyAlignment="1">
      <alignment horizontal="center" vertical="center"/>
    </xf>
    <xf numFmtId="0" fontId="8" fillId="6" borderId="32" xfId="0" applyFont="1" applyFill="1" applyBorder="1" applyAlignment="1">
      <alignment horizontal="center" vertical="center"/>
    </xf>
    <xf numFmtId="164" fontId="8" fillId="6" borderId="32" xfId="1" applyFont="1" applyFill="1" applyBorder="1" applyAlignment="1" applyProtection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164" fontId="6" fillId="3" borderId="12" xfId="1" applyFont="1" applyFill="1" applyBorder="1" applyAlignment="1" applyProtection="1">
      <alignment vertical="center"/>
    </xf>
    <xf numFmtId="164" fontId="6" fillId="3" borderId="26" xfId="1" applyFont="1" applyFill="1" applyBorder="1" applyAlignment="1" applyProtection="1">
      <alignment vertical="center"/>
    </xf>
    <xf numFmtId="0" fontId="1" fillId="0" borderId="0" xfId="0" applyFont="1" applyAlignment="1">
      <alignment horizontal="right" vertical="center"/>
    </xf>
    <xf numFmtId="164" fontId="8" fillId="0" borderId="28" xfId="1" applyFont="1" applyBorder="1" applyAlignment="1" applyProtection="1">
      <alignment horizontal="center" vertical="center"/>
    </xf>
    <xf numFmtId="164" fontId="1" fillId="4" borderId="0" xfId="1" applyFont="1" applyFill="1" applyBorder="1" applyAlignment="1" applyProtection="1">
      <alignment horizontal="center" vertical="center"/>
    </xf>
    <xf numFmtId="0" fontId="1" fillId="0" borderId="12" xfId="0" applyFont="1" applyBorder="1" applyAlignment="1">
      <alignment horizontal="right" vertical="center"/>
    </xf>
    <xf numFmtId="0" fontId="1" fillId="0" borderId="12" xfId="1" applyNumberFormat="1" applyFont="1" applyBorder="1" applyAlignment="1" applyProtection="1">
      <alignment horizontal="right" vertical="center"/>
    </xf>
    <xf numFmtId="165" fontId="1" fillId="4" borderId="12" xfId="1" applyNumberFormat="1" applyFont="1" applyFill="1" applyBorder="1" applyAlignment="1" applyProtection="1">
      <alignment horizontal="center" vertical="center"/>
    </xf>
    <xf numFmtId="164" fontId="8" fillId="0" borderId="0" xfId="1" applyFont="1" applyBorder="1" applyAlignment="1" applyProtection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164" fontId="6" fillId="0" borderId="26" xfId="1" applyFont="1" applyBorder="1" applyAlignment="1" applyProtection="1">
      <alignment vertical="center"/>
    </xf>
    <xf numFmtId="164" fontId="6" fillId="7" borderId="5" xfId="1" applyFont="1" applyFill="1" applyBorder="1" applyAlignment="1" applyProtection="1">
      <alignment vertical="center"/>
    </xf>
    <xf numFmtId="0" fontId="6" fillId="2" borderId="15" xfId="0" applyFont="1" applyFill="1" applyBorder="1" applyAlignment="1">
      <alignment vertical="center"/>
    </xf>
    <xf numFmtId="0" fontId="1" fillId="2" borderId="26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8" fillId="6" borderId="28" xfId="0" applyFont="1" applyFill="1" applyBorder="1" applyAlignment="1">
      <alignment horizontal="center" vertical="center" wrapText="1"/>
    </xf>
    <xf numFmtId="164" fontId="1" fillId="0" borderId="0" xfId="1" applyFont="1" applyBorder="1" applyAlignment="1" applyProtection="1"/>
    <xf numFmtId="0" fontId="1" fillId="0" borderId="0" xfId="0" applyFont="1"/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1" fontId="1" fillId="0" borderId="12" xfId="0" applyNumberFormat="1" applyFont="1" applyBorder="1" applyAlignment="1">
      <alignment horizontal="center" vertical="center"/>
    </xf>
    <xf numFmtId="164" fontId="6" fillId="0" borderId="26" xfId="1" applyFont="1" applyBorder="1" applyAlignment="1" applyProtection="1">
      <alignment horizontal="center" vertical="center"/>
    </xf>
    <xf numFmtId="0" fontId="1" fillId="0" borderId="16" xfId="0" applyFont="1" applyBorder="1" applyAlignment="1">
      <alignment vertical="center"/>
    </xf>
    <xf numFmtId="164" fontId="1" fillId="0" borderId="16" xfId="1" applyFont="1" applyBorder="1" applyAlignment="1" applyProtection="1">
      <alignment vertical="center"/>
    </xf>
    <xf numFmtId="164" fontId="1" fillId="0" borderId="26" xfId="1" applyFont="1" applyBorder="1" applyAlignment="1" applyProtection="1">
      <alignment vertical="center"/>
    </xf>
    <xf numFmtId="164" fontId="6" fillId="8" borderId="5" xfId="1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>
      <alignment vertical="center"/>
    </xf>
    <xf numFmtId="0" fontId="10" fillId="0" borderId="0" xfId="3" applyBorder="1" applyAlignment="1" applyProtection="1">
      <alignment vertical="center"/>
    </xf>
    <xf numFmtId="0" fontId="10" fillId="5" borderId="0" xfId="3" applyFont="1" applyFill="1" applyBorder="1" applyAlignment="1" applyProtection="1">
      <alignment vertical="center"/>
    </xf>
    <xf numFmtId="164" fontId="1" fillId="0" borderId="0" xfId="0" applyNumberFormat="1" applyFont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33" xfId="0" applyFont="1" applyBorder="1" applyAlignment="1">
      <alignment horizontal="center" vertical="center"/>
    </xf>
    <xf numFmtId="164" fontId="6" fillId="0" borderId="33" xfId="1" applyFont="1" applyBorder="1" applyAlignment="1" applyProtection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8" fillId="6" borderId="18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164" fontId="8" fillId="6" borderId="16" xfId="1" applyFont="1" applyFill="1" applyBorder="1" applyAlignment="1" applyProtection="1">
      <alignment horizontal="center" vertical="center"/>
    </xf>
    <xf numFmtId="164" fontId="8" fillId="6" borderId="5" xfId="1" applyFont="1" applyFill="1" applyBorder="1" applyAlignment="1" applyProtection="1">
      <alignment horizontal="center" vertical="center"/>
    </xf>
    <xf numFmtId="164" fontId="8" fillId="6" borderId="26" xfId="1" applyFont="1" applyFill="1" applyBorder="1" applyAlignment="1" applyProtection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0" fontId="1" fillId="5" borderId="0" xfId="0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6" fillId="2" borderId="31" xfId="0" applyFont="1" applyFill="1" applyBorder="1" applyAlignment="1">
      <alignment vertical="center"/>
    </xf>
    <xf numFmtId="3" fontId="6" fillId="4" borderId="5" xfId="0" applyNumberFormat="1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170" fontId="1" fillId="4" borderId="29" xfId="1" applyNumberFormat="1" applyFont="1" applyFill="1" applyBorder="1" applyAlignment="1" applyProtection="1">
      <alignment horizontal="center" vertical="center"/>
    </xf>
    <xf numFmtId="3" fontId="1" fillId="4" borderId="12" xfId="1" applyNumberFormat="1" applyFont="1" applyFill="1" applyBorder="1" applyAlignment="1" applyProtection="1">
      <alignment horizontal="center" vertical="center"/>
    </xf>
    <xf numFmtId="170" fontId="1" fillId="0" borderId="29" xfId="1" applyNumberFormat="1" applyFont="1" applyBorder="1" applyAlignment="1" applyProtection="1">
      <alignment horizontal="center" vertical="center"/>
    </xf>
    <xf numFmtId="3" fontId="1" fillId="0" borderId="12" xfId="1" applyNumberFormat="1" applyFont="1" applyBorder="1" applyAlignment="1" applyProtection="1">
      <alignment horizontal="center" vertical="center"/>
    </xf>
    <xf numFmtId="170" fontId="1" fillId="0" borderId="12" xfId="1" applyNumberFormat="1" applyFont="1" applyBorder="1" applyAlignment="1" applyProtection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169" fontId="6" fillId="0" borderId="12" xfId="1" applyNumberFormat="1" applyFont="1" applyBorder="1" applyAlignment="1" applyProtection="1">
      <alignment horizontal="center" vertical="center"/>
    </xf>
    <xf numFmtId="170" fontId="6" fillId="0" borderId="12" xfId="1" applyNumberFormat="1" applyFont="1" applyBorder="1" applyAlignment="1" applyProtection="1">
      <alignment horizontal="center" vertical="center"/>
    </xf>
    <xf numFmtId="169" fontId="1" fillId="4" borderId="12" xfId="1" applyNumberFormat="1" applyFont="1" applyFill="1" applyBorder="1" applyAlignment="1" applyProtection="1">
      <alignment horizontal="center" vertical="center"/>
    </xf>
    <xf numFmtId="0" fontId="1" fillId="0" borderId="29" xfId="1" applyNumberFormat="1" applyFont="1" applyBorder="1" applyAlignment="1" applyProtection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164" fontId="8" fillId="6" borderId="12" xfId="1" applyFont="1" applyFill="1" applyBorder="1" applyAlignment="1" applyProtection="1">
      <alignment horizontal="center" vertical="center"/>
    </xf>
    <xf numFmtId="164" fontId="1" fillId="0" borderId="29" xfId="1" applyFont="1" applyBorder="1" applyAlignment="1" applyProtection="1">
      <alignment vertical="center"/>
    </xf>
    <xf numFmtId="164" fontId="6" fillId="4" borderId="12" xfId="1" applyFont="1" applyFill="1" applyBorder="1" applyAlignment="1" applyProtection="1">
      <alignment horizontal="center" vertical="center"/>
    </xf>
    <xf numFmtId="164" fontId="6" fillId="0" borderId="30" xfId="1" applyFont="1" applyBorder="1" applyAlignment="1" applyProtection="1">
      <alignment vertical="center"/>
    </xf>
    <xf numFmtId="164" fontId="6" fillId="0" borderId="31" xfId="1" applyFont="1" applyBorder="1" applyAlignment="1" applyProtection="1">
      <alignment vertical="center"/>
    </xf>
    <xf numFmtId="0" fontId="1" fillId="5" borderId="5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center" vertical="center"/>
    </xf>
    <xf numFmtId="171" fontId="1" fillId="4" borderId="12" xfId="1" applyNumberFormat="1" applyFont="1" applyFill="1" applyBorder="1" applyAlignment="1" applyProtection="1">
      <alignment horizontal="center" vertical="center"/>
    </xf>
    <xf numFmtId="0" fontId="1" fillId="4" borderId="0" xfId="0" applyFont="1" applyFill="1" applyAlignment="1">
      <alignment vertical="center"/>
    </xf>
    <xf numFmtId="164" fontId="8" fillId="6" borderId="20" xfId="1" applyFont="1" applyFill="1" applyBorder="1" applyAlignment="1" applyProtection="1">
      <alignment horizontal="center" vertical="center"/>
    </xf>
    <xf numFmtId="3" fontId="1" fillId="0" borderId="12" xfId="0" applyNumberFormat="1" applyFont="1" applyBorder="1" applyAlignment="1">
      <alignment vertical="center"/>
    </xf>
    <xf numFmtId="164" fontId="1" fillId="0" borderId="30" xfId="1" applyFont="1" applyBorder="1" applyAlignment="1" applyProtection="1">
      <alignment vertical="center"/>
    </xf>
    <xf numFmtId="0" fontId="6" fillId="5" borderId="0" xfId="0" applyFont="1" applyFill="1" applyAlignment="1">
      <alignment vertical="center"/>
    </xf>
    <xf numFmtId="13" fontId="1" fillId="0" borderId="12" xfId="0" applyNumberFormat="1" applyFont="1" applyBorder="1" applyAlignment="1">
      <alignment vertical="center"/>
    </xf>
    <xf numFmtId="0" fontId="11" fillId="0" borderId="12" xfId="0" applyFont="1" applyBorder="1" applyAlignment="1">
      <alignment horizontal="center" vertical="center"/>
    </xf>
    <xf numFmtId="165" fontId="6" fillId="3" borderId="5" xfId="1" applyNumberFormat="1" applyFont="1" applyFill="1" applyBorder="1" applyAlignment="1" applyProtection="1">
      <alignment horizontal="center" vertical="center"/>
    </xf>
    <xf numFmtId="164" fontId="12" fillId="0" borderId="0" xfId="1" applyFont="1" applyBorder="1" applyAlignment="1" applyProtection="1">
      <alignment vertical="center"/>
    </xf>
    <xf numFmtId="0" fontId="12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164" fontId="6" fillId="8" borderId="5" xfId="1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164" fontId="5" fillId="0" borderId="0" xfId="1" applyFont="1" applyBorder="1" applyAlignment="1" applyProtection="1">
      <alignment vertical="center"/>
    </xf>
    <xf numFmtId="0" fontId="1" fillId="0" borderId="15" xfId="0" applyFont="1" applyBorder="1" applyAlignment="1">
      <alignment vertical="center"/>
    </xf>
    <xf numFmtId="165" fontId="6" fillId="8" borderId="5" xfId="1" applyNumberFormat="1" applyFont="1" applyFill="1" applyBorder="1" applyAlignment="1" applyProtection="1">
      <alignment vertical="center"/>
    </xf>
    <xf numFmtId="164" fontId="6" fillId="0" borderId="26" xfId="1" applyFont="1" applyBorder="1" applyAlignment="1" applyProtection="1">
      <alignment horizontal="right" vertical="center"/>
    </xf>
    <xf numFmtId="164" fontId="6" fillId="8" borderId="5" xfId="1" applyFont="1" applyFill="1" applyBorder="1" applyAlignment="1" applyProtection="1">
      <alignment horizontal="right" vertical="center"/>
    </xf>
    <xf numFmtId="0" fontId="0" fillId="0" borderId="0" xfId="0" applyAlignment="1">
      <alignment horizontal="center"/>
    </xf>
    <xf numFmtId="0" fontId="13" fillId="0" borderId="34" xfId="0" applyFont="1" applyBorder="1"/>
    <xf numFmtId="0" fontId="13" fillId="0" borderId="34" xfId="0" applyFont="1" applyBorder="1" applyAlignment="1">
      <alignment horizontal="center" wrapText="1"/>
    </xf>
    <xf numFmtId="0" fontId="13" fillId="0" borderId="34" xfId="0" applyFont="1" applyBorder="1" applyAlignment="1">
      <alignment horizontal="center"/>
    </xf>
  </cellXfs>
  <cellStyles count="4">
    <cellStyle name="Hiperlink" xfId="3" builtinId="8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67171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81"/>
  <sheetViews>
    <sheetView topLeftCell="A265" zoomScaleNormal="100" workbookViewId="0">
      <selection activeCell="D363" sqref="D363"/>
    </sheetView>
  </sheetViews>
  <sheetFormatPr defaultRowHeight="15" x14ac:dyDescent="0.25"/>
  <cols>
    <col min="1" max="1" width="44.5703125" style="8" customWidth="1"/>
    <col min="2" max="2" width="16.5703125" style="8" customWidth="1"/>
    <col min="3" max="3" width="11.7109375" style="8" customWidth="1"/>
    <col min="4" max="4" width="17.5703125" style="9" customWidth="1"/>
    <col min="5" max="5" width="15.42578125" style="9" customWidth="1"/>
    <col min="6" max="6" width="13.28515625" style="9" customWidth="1"/>
    <col min="7" max="7" width="28.28515625" style="9" customWidth="1"/>
    <col min="8" max="8" width="9.28515625" style="8" customWidth="1"/>
    <col min="9" max="9" width="14.5703125" style="8" customWidth="1"/>
    <col min="10" max="10" width="13.42578125" style="8" customWidth="1"/>
    <col min="11" max="1025" width="9.28515625" style="8" customWidth="1"/>
  </cols>
  <sheetData>
    <row r="1" spans="1:7" s="11" customFormat="1" ht="18" x14ac:dyDescent="0.25">
      <c r="A1" s="7" t="s">
        <v>0</v>
      </c>
      <c r="B1" s="7"/>
      <c r="C1" s="7"/>
      <c r="D1" s="7"/>
      <c r="E1" s="7"/>
      <c r="F1" s="7"/>
      <c r="G1" s="10"/>
    </row>
    <row r="2" spans="1:7" s="11" customFormat="1" ht="37.5" customHeight="1" x14ac:dyDescent="0.25">
      <c r="A2" s="6" t="s">
        <v>1</v>
      </c>
      <c r="B2" s="6"/>
      <c r="C2" s="6"/>
      <c r="D2" s="6"/>
      <c r="E2" s="6"/>
      <c r="F2" s="6"/>
      <c r="G2" s="10"/>
    </row>
    <row r="3" spans="1:7" s="16" customFormat="1" ht="10.9" customHeight="1" x14ac:dyDescent="0.25">
      <c r="A3" s="12"/>
      <c r="B3" s="13"/>
      <c r="C3" s="13"/>
      <c r="D3" s="14"/>
      <c r="E3" s="14"/>
      <c r="F3" s="15"/>
      <c r="G3" s="14"/>
    </row>
    <row r="4" spans="1:7" s="16" customFormat="1" ht="15.75" customHeight="1" x14ac:dyDescent="0.25">
      <c r="A4" s="5" t="s">
        <v>2</v>
      </c>
      <c r="B4" s="5"/>
      <c r="C4" s="5"/>
      <c r="D4" s="5"/>
      <c r="E4" s="5"/>
      <c r="F4" s="5"/>
      <c r="G4" s="14"/>
    </row>
    <row r="5" spans="1:7" s="16" customFormat="1" ht="15.75" customHeight="1" x14ac:dyDescent="0.25">
      <c r="A5" s="17" t="s">
        <v>3</v>
      </c>
      <c r="B5" s="18"/>
      <c r="C5" s="18"/>
      <c r="D5" s="19"/>
      <c r="E5" s="20" t="s">
        <v>4</v>
      </c>
      <c r="F5" s="21" t="s">
        <v>5</v>
      </c>
      <c r="G5" s="14"/>
    </row>
    <row r="6" spans="1:7" s="28" customFormat="1" ht="15.75" customHeight="1" x14ac:dyDescent="0.25">
      <c r="A6" s="22" t="str">
        <f>A69</f>
        <v>1. Mão-de-obra</v>
      </c>
      <c r="B6" s="23"/>
      <c r="C6" s="24"/>
      <c r="D6" s="24"/>
      <c r="E6" s="25">
        <f>+F333</f>
        <v>373516.96750047291</v>
      </c>
      <c r="F6" s="26">
        <f t="shared" ref="F6:F20" si="0">IFERROR(E6/$E$42,0)</f>
        <v>0.47674464209793249</v>
      </c>
      <c r="G6" s="27"/>
    </row>
    <row r="7" spans="1:7" s="16" customFormat="1" ht="15.75" customHeight="1" x14ac:dyDescent="0.25">
      <c r="A7" s="29" t="str">
        <f>A71</f>
        <v>1.1. Coletor Turno Dia</v>
      </c>
      <c r="B7" s="30"/>
      <c r="C7" s="31"/>
      <c r="D7" s="31"/>
      <c r="E7" s="32">
        <f>+F83</f>
        <v>109335.27594808595</v>
      </c>
      <c r="F7" s="33">
        <f t="shared" si="0"/>
        <v>0.13955191205733627</v>
      </c>
      <c r="G7" s="14"/>
    </row>
    <row r="8" spans="1:7" s="16" customFormat="1" ht="15.75" customHeight="1" x14ac:dyDescent="0.25">
      <c r="A8" s="29" t="str">
        <f>A85</f>
        <v>1.2. Coletor Turno Noite</v>
      </c>
      <c r="B8" s="30"/>
      <c r="C8" s="31"/>
      <c r="D8" s="31"/>
      <c r="E8" s="32">
        <f>+F103</f>
        <v>86819.200479796244</v>
      </c>
      <c r="F8" s="33">
        <f t="shared" si="0"/>
        <v>0.11081314173476392</v>
      </c>
      <c r="G8" s="14"/>
    </row>
    <row r="9" spans="1:7" s="16" customFormat="1" ht="15.75" customHeight="1" x14ac:dyDescent="0.25">
      <c r="A9" s="29" t="str">
        <f>A105</f>
        <v>1.3. Motorista Turno do Dia</v>
      </c>
      <c r="B9" s="30"/>
      <c r="C9" s="31"/>
      <c r="D9" s="31"/>
      <c r="E9" s="32">
        <f>+F120</f>
        <v>42227.667881250607</v>
      </c>
      <c r="F9" s="33">
        <f t="shared" si="0"/>
        <v>5.3897991690703292E-2</v>
      </c>
      <c r="G9" s="14"/>
    </row>
    <row r="10" spans="1:7" s="16" customFormat="1" ht="15.75" customHeight="1" x14ac:dyDescent="0.25">
      <c r="A10" s="29" t="str">
        <f>A122</f>
        <v>1.4. Motorista Turno Noite</v>
      </c>
      <c r="B10" s="30"/>
      <c r="C10" s="31"/>
      <c r="D10" s="31"/>
      <c r="E10" s="32">
        <f>+F143</f>
        <v>39309.833422197713</v>
      </c>
      <c r="F10" s="33">
        <f t="shared" si="0"/>
        <v>5.0173764772202124E-2</v>
      </c>
      <c r="G10" s="14"/>
    </row>
    <row r="11" spans="1:7" s="16" customFormat="1" ht="15.75" customHeight="1" x14ac:dyDescent="0.25">
      <c r="A11" s="29" t="s">
        <v>6</v>
      </c>
      <c r="B11" s="30"/>
      <c r="C11" s="31"/>
      <c r="D11" s="31"/>
      <c r="E11" s="32">
        <f>+F156</f>
        <v>6041.3030849641927</v>
      </c>
      <c r="F11" s="33">
        <f t="shared" si="0"/>
        <v>7.7109184525673341E-3</v>
      </c>
      <c r="G11" s="14"/>
    </row>
    <row r="12" spans="1:7" s="16" customFormat="1" ht="15.75" customHeight="1" x14ac:dyDescent="0.25">
      <c r="A12" s="29" t="s">
        <v>7</v>
      </c>
      <c r="B12" s="30"/>
      <c r="C12" s="31"/>
      <c r="D12" s="31"/>
      <c r="E12" s="32">
        <f>+F171</f>
        <v>5901.5877180000007</v>
      </c>
      <c r="F12" s="33">
        <f t="shared" si="0"/>
        <v>7.5325904021318725E-3</v>
      </c>
      <c r="G12" s="14"/>
    </row>
    <row r="13" spans="1:7" s="16" customFormat="1" ht="15.75" customHeight="1" x14ac:dyDescent="0.25">
      <c r="A13" s="29" t="s">
        <v>8</v>
      </c>
      <c r="B13" s="30"/>
      <c r="C13" s="31"/>
      <c r="D13" s="31"/>
      <c r="E13" s="32">
        <f>+F185</f>
        <v>4678.1131981845429</v>
      </c>
      <c r="F13" s="33">
        <f t="shared" si="0"/>
        <v>5.9709881917460166E-3</v>
      </c>
      <c r="G13" s="14"/>
    </row>
    <row r="14" spans="1:7" s="16" customFormat="1" ht="15.75" customHeight="1" x14ac:dyDescent="0.25">
      <c r="A14" s="29" t="s">
        <v>9</v>
      </c>
      <c r="B14" s="30"/>
      <c r="C14" s="31"/>
      <c r="D14" s="31"/>
      <c r="E14" s="32">
        <f>+F206</f>
        <v>4922.6875307099181</v>
      </c>
      <c r="F14" s="33">
        <f t="shared" si="0"/>
        <v>6.2831547404477248E-3</v>
      </c>
      <c r="G14" s="14"/>
    </row>
    <row r="15" spans="1:7" s="16" customFormat="1" ht="15.75" customHeight="1" x14ac:dyDescent="0.25">
      <c r="A15" s="34" t="s">
        <v>10</v>
      </c>
      <c r="B15" s="30"/>
      <c r="C15" s="31"/>
      <c r="D15" s="31"/>
      <c r="E15" s="32">
        <f>+F219</f>
        <v>4898.161792529866</v>
      </c>
      <c r="F15" s="33">
        <f t="shared" si="0"/>
        <v>6.2518509034384419E-3</v>
      </c>
      <c r="G15" s="14"/>
    </row>
    <row r="16" spans="1:7" s="16" customFormat="1" ht="15.75" customHeight="1" x14ac:dyDescent="0.25">
      <c r="A16" s="34" t="s">
        <v>11</v>
      </c>
      <c r="B16" s="30"/>
      <c r="C16" s="31"/>
      <c r="D16" s="31"/>
      <c r="E16" s="32">
        <f>+F240</f>
        <v>5015.4484762331776</v>
      </c>
      <c r="F16" s="33">
        <f t="shared" si="0"/>
        <v>6.4015517280600646E-3</v>
      </c>
      <c r="G16" s="14"/>
    </row>
    <row r="17" spans="1:7" s="16" customFormat="1" ht="15.75" customHeight="1" x14ac:dyDescent="0.25">
      <c r="A17" s="34" t="s">
        <v>12</v>
      </c>
      <c r="B17" s="30"/>
      <c r="C17" s="31"/>
      <c r="D17" s="31"/>
      <c r="E17" s="32">
        <f>+F254</f>
        <v>7012.9532649804923</v>
      </c>
      <c r="F17" s="33">
        <f t="shared" si="0"/>
        <v>8.951100445948065E-3</v>
      </c>
      <c r="G17" s="14"/>
    </row>
    <row r="18" spans="1:7" s="16" customFormat="1" ht="15.75" customHeight="1" x14ac:dyDescent="0.25">
      <c r="A18" s="34" t="s">
        <v>13</v>
      </c>
      <c r="B18" s="30"/>
      <c r="C18" s="31"/>
      <c r="D18" s="31"/>
      <c r="E18" s="32">
        <f>+F268</f>
        <v>4540.6250893810375</v>
      </c>
      <c r="F18" s="33">
        <f t="shared" si="0"/>
        <v>5.7955029395956818E-3</v>
      </c>
      <c r="G18" s="14"/>
    </row>
    <row r="19" spans="1:7" s="16" customFormat="1" ht="15.75" customHeight="1" x14ac:dyDescent="0.25">
      <c r="A19" s="34" t="s">
        <v>14</v>
      </c>
      <c r="B19" s="30"/>
      <c r="C19" s="31"/>
      <c r="D19" s="31"/>
      <c r="E19" s="32">
        <f>+F289</f>
        <v>4649.350542159209</v>
      </c>
      <c r="F19" s="33">
        <f t="shared" si="0"/>
        <v>5.9342764936286705E-3</v>
      </c>
      <c r="G19" s="14"/>
    </row>
    <row r="20" spans="1:7" s="16" customFormat="1" ht="15.75" customHeight="1" x14ac:dyDescent="0.25">
      <c r="A20" s="34" t="s">
        <v>15</v>
      </c>
      <c r="B20" s="30"/>
      <c r="C20" s="31"/>
      <c r="D20" s="31"/>
      <c r="E20" s="32">
        <f>+F302</f>
        <v>5023.7270719999997</v>
      </c>
      <c r="F20" s="33">
        <f t="shared" si="0"/>
        <v>6.4121182525270475E-3</v>
      </c>
      <c r="G20" s="14"/>
    </row>
    <row r="21" spans="1:7" s="16" customFormat="1" ht="15.75" customHeight="1" x14ac:dyDescent="0.25">
      <c r="A21" s="34" t="s">
        <v>16</v>
      </c>
      <c r="B21" s="30"/>
      <c r="C21" s="31"/>
      <c r="D21" s="31"/>
      <c r="E21" s="32">
        <f>+F319</f>
        <v>12184.912</v>
      </c>
      <c r="F21" s="33">
        <f>IFERROR(E12/$E$42,0)</f>
        <v>7.5325904021318725E-3</v>
      </c>
      <c r="G21" s="14"/>
    </row>
    <row r="22" spans="1:7" s="16" customFormat="1" ht="15.75" customHeight="1" x14ac:dyDescent="0.25">
      <c r="A22" s="34" t="s">
        <v>17</v>
      </c>
      <c r="B22" s="30"/>
      <c r="C22" s="31"/>
      <c r="D22" s="31"/>
      <c r="E22" s="32">
        <f>+F331</f>
        <v>30956.120000000003</v>
      </c>
      <c r="F22" s="33">
        <f t="shared" ref="F22:F41" si="1">IFERROR(E22/$E$42,0)</f>
        <v>3.9511362626711108E-2</v>
      </c>
      <c r="G22" s="14"/>
    </row>
    <row r="23" spans="1:7" s="28" customFormat="1" ht="15.75" customHeight="1" x14ac:dyDescent="0.25">
      <c r="A23" s="4" t="str">
        <f>A336</f>
        <v>2. Uniformes e Equipamentos de Proteção Individual</v>
      </c>
      <c r="B23" s="4"/>
      <c r="C23" s="4"/>
      <c r="D23" s="24"/>
      <c r="E23" s="25">
        <f>+F368</f>
        <v>15503.442333333332</v>
      </c>
      <c r="F23" s="26">
        <f t="shared" si="1"/>
        <v>1.9788078479946368E-2</v>
      </c>
      <c r="G23" s="27"/>
    </row>
    <row r="24" spans="1:7" s="28" customFormat="1" ht="15.75" customHeight="1" x14ac:dyDescent="0.25">
      <c r="A24" s="35" t="str">
        <f>A371</f>
        <v>3. Veículos e Equipamentos</v>
      </c>
      <c r="B24" s="36"/>
      <c r="C24" s="24"/>
      <c r="D24" s="24"/>
      <c r="E24" s="25">
        <f>+F506</f>
        <v>226293.54318885764</v>
      </c>
      <c r="F24" s="26">
        <f t="shared" si="1"/>
        <v>0.28883355682231054</v>
      </c>
      <c r="G24" s="27"/>
    </row>
    <row r="25" spans="1:7" s="16" customFormat="1" ht="15.75" customHeight="1" x14ac:dyDescent="0.25">
      <c r="A25" s="37" t="str">
        <f>A373</f>
        <v>3.1. Veículo Coletor Compactador 15 m³</v>
      </c>
      <c r="B25" s="38"/>
      <c r="C25" s="31"/>
      <c r="D25" s="31"/>
      <c r="E25" s="32">
        <f>SUM(E26:E31)</f>
        <v>219407.89872421997</v>
      </c>
      <c r="F25" s="39">
        <f t="shared" si="1"/>
        <v>0.28004494909754063</v>
      </c>
      <c r="G25" s="14"/>
    </row>
    <row r="26" spans="1:7" s="16" customFormat="1" ht="15.75" customHeight="1" x14ac:dyDescent="0.25">
      <c r="A26" s="37" t="str">
        <f>A375</f>
        <v>3.1.1. Depreciação</v>
      </c>
      <c r="B26" s="38"/>
      <c r="C26" s="31"/>
      <c r="D26" s="31"/>
      <c r="E26" s="32">
        <f>+F389</f>
        <v>28697.600000000002</v>
      </c>
      <c r="F26" s="39">
        <f t="shared" si="1"/>
        <v>3.6628662768987345E-2</v>
      </c>
      <c r="G26" s="14"/>
    </row>
    <row r="27" spans="1:7" s="16" customFormat="1" ht="15.75" customHeight="1" x14ac:dyDescent="0.25">
      <c r="A27" s="37" t="str">
        <f>A391</f>
        <v>3.1.2. Remuneração do Capital</v>
      </c>
      <c r="B27" s="38"/>
      <c r="C27" s="31"/>
      <c r="D27" s="31"/>
      <c r="E27" s="32">
        <f>+F405</f>
        <v>39696.682666666668</v>
      </c>
      <c r="F27" s="39">
        <f t="shared" si="1"/>
        <v>5.0667526289475032E-2</v>
      </c>
      <c r="G27" s="14"/>
    </row>
    <row r="28" spans="1:7" s="16" customFormat="1" ht="15.75" customHeight="1" x14ac:dyDescent="0.25">
      <c r="A28" s="37" t="str">
        <f>A407</f>
        <v>3.1.3. Impostos e Seguros</v>
      </c>
      <c r="B28" s="38"/>
      <c r="C28" s="31"/>
      <c r="D28" s="31"/>
      <c r="E28" s="32">
        <f>+F413</f>
        <v>5986.208333333333</v>
      </c>
      <c r="F28" s="39">
        <f t="shared" si="1"/>
        <v>7.6405973428638092E-3</v>
      </c>
      <c r="G28" s="14"/>
    </row>
    <row r="29" spans="1:7" s="16" customFormat="1" ht="15.75" customHeight="1" x14ac:dyDescent="0.25">
      <c r="A29" s="37" t="str">
        <f>A415</f>
        <v>3.1.4. Consumos</v>
      </c>
      <c r="B29" s="38"/>
      <c r="C29" s="31"/>
      <c r="D29" s="31"/>
      <c r="E29" s="32">
        <f>+F430</f>
        <v>106969.84070422</v>
      </c>
      <c r="F29" s="39">
        <f t="shared" si="1"/>
        <v>0.13653274913606608</v>
      </c>
      <c r="G29" s="14"/>
    </row>
    <row r="30" spans="1:7" s="16" customFormat="1" ht="15.75" customHeight="1" x14ac:dyDescent="0.25">
      <c r="A30" s="37" t="str">
        <f>A432</f>
        <v>3.1.5. Manutenção</v>
      </c>
      <c r="B30" s="38"/>
      <c r="C30" s="31"/>
      <c r="D30" s="31"/>
      <c r="E30" s="32">
        <f>+F435</f>
        <v>27002.6296</v>
      </c>
      <c r="F30" s="39">
        <f t="shared" si="1"/>
        <v>3.446525888904562E-2</v>
      </c>
      <c r="G30" s="14"/>
    </row>
    <row r="31" spans="1:7" s="16" customFormat="1" ht="15.75" customHeight="1" x14ac:dyDescent="0.25">
      <c r="A31" s="37" t="str">
        <f>A438</f>
        <v>3.1.6. Pneus</v>
      </c>
      <c r="B31" s="38"/>
      <c r="C31" s="31"/>
      <c r="D31" s="31"/>
      <c r="E31" s="32">
        <f>+F445</f>
        <v>11054.93742</v>
      </c>
      <c r="F31" s="39">
        <f t="shared" si="1"/>
        <v>1.4110154671102776E-2</v>
      </c>
      <c r="G31" s="14"/>
    </row>
    <row r="32" spans="1:7" s="16" customFormat="1" ht="15.75" customHeight="1" x14ac:dyDescent="0.25">
      <c r="A32" s="37" t="s">
        <v>18</v>
      </c>
      <c r="B32" s="38"/>
      <c r="C32" s="31"/>
      <c r="D32" s="31"/>
      <c r="E32" s="32">
        <f>SUM(E33:E38)</f>
        <v>6885.6444646376822</v>
      </c>
      <c r="F32" s="39">
        <f t="shared" si="1"/>
        <v>8.7886077247699475E-3</v>
      </c>
      <c r="G32" s="14"/>
    </row>
    <row r="33" spans="1:7" s="16" customFormat="1" ht="15.75" customHeight="1" x14ac:dyDescent="0.25">
      <c r="A33" s="37" t="s">
        <v>19</v>
      </c>
      <c r="B33" s="38"/>
      <c r="C33" s="31"/>
      <c r="D33" s="31"/>
      <c r="E33" s="32">
        <f>+F458</f>
        <v>703.75932333333344</v>
      </c>
      <c r="F33" s="39">
        <f t="shared" si="1"/>
        <v>8.9825500825530349E-4</v>
      </c>
      <c r="G33" s="14"/>
    </row>
    <row r="34" spans="1:7" s="16" customFormat="1" ht="15.75" customHeight="1" x14ac:dyDescent="0.25">
      <c r="A34" s="37" t="s">
        <v>20</v>
      </c>
      <c r="B34" s="38"/>
      <c r="C34" s="31"/>
      <c r="D34" s="31"/>
      <c r="E34" s="32">
        <f>+F469</f>
        <v>556.05408333333332</v>
      </c>
      <c r="F34" s="39">
        <f t="shared" si="1"/>
        <v>7.097289494499559E-4</v>
      </c>
      <c r="G34" s="14"/>
    </row>
    <row r="35" spans="1:7" s="16" customFormat="1" ht="15.75" customHeight="1" x14ac:dyDescent="0.25">
      <c r="A35" s="37" t="s">
        <v>21</v>
      </c>
      <c r="B35" s="38"/>
      <c r="C35" s="31"/>
      <c r="D35" s="31"/>
      <c r="E35" s="32">
        <f>+F477</f>
        <v>459.86166666666668</v>
      </c>
      <c r="F35" s="39">
        <f t="shared" si="1"/>
        <v>5.8695214612782258E-4</v>
      </c>
      <c r="G35" s="14"/>
    </row>
    <row r="36" spans="1:7" s="16" customFormat="1" ht="15.75" customHeight="1" x14ac:dyDescent="0.25">
      <c r="A36" s="37" t="s">
        <v>22</v>
      </c>
      <c r="B36" s="38"/>
      <c r="C36" s="31"/>
      <c r="D36" s="31"/>
      <c r="E36" s="32">
        <f>+F487</f>
        <v>3269.217391304348</v>
      </c>
      <c r="F36" s="39">
        <f t="shared" si="1"/>
        <v>4.1727204137138822E-3</v>
      </c>
      <c r="G36" s="14"/>
    </row>
    <row r="37" spans="1:7" s="16" customFormat="1" ht="15.75" customHeight="1" x14ac:dyDescent="0.25">
      <c r="A37" s="37" t="s">
        <v>23</v>
      </c>
      <c r="B37" s="38"/>
      <c r="C37" s="31"/>
      <c r="D37" s="31"/>
      <c r="E37" s="32">
        <f>+F493</f>
        <v>1819.9999999999998</v>
      </c>
      <c r="F37" s="39">
        <f t="shared" si="1"/>
        <v>2.322987505559941E-3</v>
      </c>
      <c r="G37" s="14"/>
    </row>
    <row r="38" spans="1:7" s="16" customFormat="1" ht="15.75" customHeight="1" x14ac:dyDescent="0.25">
      <c r="A38" s="37" t="s">
        <v>24</v>
      </c>
      <c r="B38" s="38"/>
      <c r="C38" s="31"/>
      <c r="D38" s="31"/>
      <c r="E38" s="32">
        <f>+F503</f>
        <v>76.75200000000001</v>
      </c>
      <c r="F38" s="39">
        <f t="shared" si="1"/>
        <v>9.7963701663042105E-5</v>
      </c>
      <c r="G38" s="14"/>
    </row>
    <row r="39" spans="1:7" s="28" customFormat="1" ht="15.75" customHeight="1" x14ac:dyDescent="0.25">
      <c r="A39" s="35" t="str">
        <f>A509</f>
        <v>4. Ferramentas e Materiais de Consumo</v>
      </c>
      <c r="B39" s="36"/>
      <c r="C39" s="24"/>
      <c r="D39" s="24"/>
      <c r="E39" s="25">
        <f>+F518</f>
        <v>740.8</v>
      </c>
      <c r="F39" s="26">
        <f t="shared" si="1"/>
        <v>9.4553249676857377E-4</v>
      </c>
      <c r="G39" s="27"/>
    </row>
    <row r="40" spans="1:7" s="28" customFormat="1" ht="15.75" customHeight="1" x14ac:dyDescent="0.25">
      <c r="A40" s="35" t="str">
        <f>A521</f>
        <v>5. Monitoramento da Frota</v>
      </c>
      <c r="B40" s="36"/>
      <c r="C40" s="24"/>
      <c r="D40" s="24"/>
      <c r="E40" s="25">
        <f>+F529</f>
        <v>756.66666666666663</v>
      </c>
      <c r="F40" s="26">
        <f t="shared" si="1"/>
        <v>9.6578418271448105E-4</v>
      </c>
      <c r="G40" s="27"/>
    </row>
    <row r="41" spans="1:7" s="28" customFormat="1" ht="15.75" customHeight="1" x14ac:dyDescent="0.25">
      <c r="A41" s="35" t="str">
        <f>A534</f>
        <v>6. Benefícios e Despesas Indiretas - BDI</v>
      </c>
      <c r="B41" s="36"/>
      <c r="C41" s="24"/>
      <c r="D41" s="24"/>
      <c r="E41" s="40">
        <f>+F539</f>
        <v>166662.44560005711</v>
      </c>
      <c r="F41" s="26">
        <f t="shared" si="1"/>
        <v>0.21272240592032751</v>
      </c>
      <c r="G41" s="27"/>
    </row>
    <row r="42" spans="1:7" s="16" customFormat="1" ht="15.75" customHeight="1" x14ac:dyDescent="0.25">
      <c r="A42" s="41" t="s">
        <v>25</v>
      </c>
      <c r="B42" s="42"/>
      <c r="C42" s="43"/>
      <c r="D42" s="43"/>
      <c r="E42" s="44">
        <f>+E6+E23+E24+E39+E40+E41</f>
        <v>783473.86528938764</v>
      </c>
      <c r="F42" s="45">
        <f>F6+F23+F24+F39+F40+F41</f>
        <v>1</v>
      </c>
      <c r="G42" s="14"/>
    </row>
    <row r="45" spans="1:7" s="16" customFormat="1" ht="15" customHeight="1" x14ac:dyDescent="0.25">
      <c r="A45" s="5" t="s">
        <v>26</v>
      </c>
      <c r="B45" s="5"/>
      <c r="C45" s="5"/>
      <c r="D45" s="5"/>
      <c r="E45" s="5"/>
      <c r="F45" s="9"/>
      <c r="G45" s="14"/>
    </row>
    <row r="46" spans="1:7" s="16" customFormat="1" ht="15" customHeight="1" x14ac:dyDescent="0.25">
      <c r="A46" s="3" t="s">
        <v>27</v>
      </c>
      <c r="B46" s="3"/>
      <c r="C46" s="3"/>
      <c r="D46" s="3"/>
      <c r="E46" s="46" t="s">
        <v>28</v>
      </c>
      <c r="F46" s="9"/>
      <c r="G46" s="14"/>
    </row>
    <row r="47" spans="1:7" s="16" customFormat="1" ht="15" customHeight="1" x14ac:dyDescent="0.25">
      <c r="A47" s="47" t="s">
        <v>29</v>
      </c>
      <c r="B47" s="48"/>
      <c r="C47" s="47"/>
      <c r="D47" s="49"/>
      <c r="E47" s="50">
        <v>27</v>
      </c>
      <c r="F47" s="9"/>
      <c r="G47" s="14"/>
    </row>
    <row r="48" spans="1:7" s="16" customFormat="1" ht="15" customHeight="1" x14ac:dyDescent="0.25">
      <c r="A48" s="47" t="s">
        <v>30</v>
      </c>
      <c r="B48" s="48"/>
      <c r="C48" s="47"/>
      <c r="D48" s="49"/>
      <c r="E48" s="51">
        <v>20</v>
      </c>
      <c r="F48" s="9"/>
      <c r="G48" s="14"/>
    </row>
    <row r="49" spans="1:7" s="16" customFormat="1" ht="15" customHeight="1" x14ac:dyDescent="0.25">
      <c r="A49" s="47" t="s">
        <v>31</v>
      </c>
      <c r="B49" s="48"/>
      <c r="C49" s="47"/>
      <c r="D49" s="49"/>
      <c r="E49" s="51">
        <v>9</v>
      </c>
      <c r="F49" s="9"/>
      <c r="G49" s="14"/>
    </row>
    <row r="50" spans="1:7" s="16" customFormat="1" ht="15" customHeight="1" x14ac:dyDescent="0.25">
      <c r="A50" s="52" t="s">
        <v>32</v>
      </c>
      <c r="B50" s="48"/>
      <c r="C50" s="47"/>
      <c r="D50" s="49"/>
      <c r="E50" s="51">
        <v>8</v>
      </c>
      <c r="F50" s="9"/>
      <c r="G50" s="14"/>
    </row>
    <row r="51" spans="1:7" s="16" customFormat="1" ht="15" customHeight="1" x14ac:dyDescent="0.25">
      <c r="A51" s="47" t="s">
        <v>33</v>
      </c>
      <c r="B51" s="53"/>
      <c r="C51" s="49"/>
      <c r="D51" s="49"/>
      <c r="E51" s="54">
        <v>1</v>
      </c>
      <c r="F51" s="9"/>
      <c r="G51" s="14"/>
    </row>
    <row r="52" spans="1:7" s="16" customFormat="1" ht="15" customHeight="1" x14ac:dyDescent="0.25">
      <c r="A52" s="47" t="s">
        <v>34</v>
      </c>
      <c r="B52" s="53"/>
      <c r="C52" s="49"/>
      <c r="D52" s="49"/>
      <c r="E52" s="54">
        <v>1</v>
      </c>
      <c r="F52" s="9"/>
      <c r="G52" s="14"/>
    </row>
    <row r="53" spans="1:7" s="16" customFormat="1" ht="15" customHeight="1" x14ac:dyDescent="0.25">
      <c r="A53" s="47" t="s">
        <v>35</v>
      </c>
      <c r="B53" s="53"/>
      <c r="C53" s="49"/>
      <c r="D53" s="49"/>
      <c r="E53" s="54">
        <v>1</v>
      </c>
      <c r="F53" s="9"/>
      <c r="G53" s="14"/>
    </row>
    <row r="54" spans="1:7" s="16" customFormat="1" ht="15" customHeight="1" x14ac:dyDescent="0.25">
      <c r="A54" s="47" t="s">
        <v>36</v>
      </c>
      <c r="B54" s="53"/>
      <c r="C54" s="49"/>
      <c r="D54" s="49"/>
      <c r="E54" s="54">
        <v>1</v>
      </c>
      <c r="F54" s="9"/>
      <c r="G54" s="14"/>
    </row>
    <row r="55" spans="1:7" s="16" customFormat="1" ht="15" customHeight="1" x14ac:dyDescent="0.25">
      <c r="A55" s="47" t="s">
        <v>37</v>
      </c>
      <c r="B55" s="53"/>
      <c r="C55" s="49"/>
      <c r="D55" s="49"/>
      <c r="E55" s="54">
        <v>2</v>
      </c>
      <c r="F55" s="9"/>
      <c r="G55" s="14"/>
    </row>
    <row r="56" spans="1:7" s="16" customFormat="1" ht="15" customHeight="1" x14ac:dyDescent="0.25">
      <c r="A56" s="47" t="s">
        <v>38</v>
      </c>
      <c r="B56" s="53"/>
      <c r="C56" s="49"/>
      <c r="D56" s="49"/>
      <c r="E56" s="54">
        <v>1</v>
      </c>
      <c r="F56" s="9"/>
      <c r="G56" s="14"/>
    </row>
    <row r="57" spans="1:7" s="16" customFormat="1" ht="15" customHeight="1" x14ac:dyDescent="0.25">
      <c r="A57" s="47" t="s">
        <v>39</v>
      </c>
      <c r="B57" s="49"/>
      <c r="C57" s="49"/>
      <c r="D57" s="49"/>
      <c r="E57" s="54">
        <v>1</v>
      </c>
      <c r="F57" s="9"/>
      <c r="G57" s="14"/>
    </row>
    <row r="58" spans="1:7" s="16" customFormat="1" ht="15" customHeight="1" x14ac:dyDescent="0.25">
      <c r="A58" s="47" t="s">
        <v>40</v>
      </c>
      <c r="B58" s="49"/>
      <c r="C58" s="49"/>
      <c r="D58" s="49"/>
      <c r="E58" s="54">
        <v>2</v>
      </c>
      <c r="F58" s="9"/>
      <c r="G58" s="14"/>
    </row>
    <row r="59" spans="1:7" s="16" customFormat="1" ht="15" customHeight="1" x14ac:dyDescent="0.25">
      <c r="A59" s="55" t="s">
        <v>41</v>
      </c>
      <c r="B59" s="49"/>
      <c r="C59" s="49"/>
      <c r="D59" s="49"/>
      <c r="E59" s="54">
        <v>1</v>
      </c>
      <c r="F59" s="9"/>
      <c r="G59" s="14"/>
    </row>
    <row r="60" spans="1:7" s="16" customFormat="1" ht="15" customHeight="1" x14ac:dyDescent="0.25">
      <c r="A60" s="47" t="s">
        <v>42</v>
      </c>
      <c r="B60" s="49"/>
      <c r="C60" s="49"/>
      <c r="D60" s="49"/>
      <c r="E60" s="54">
        <v>1</v>
      </c>
      <c r="F60" s="9"/>
      <c r="G60" s="14"/>
    </row>
    <row r="61" spans="1:7" s="16" customFormat="1" ht="15" customHeight="1" x14ac:dyDescent="0.25">
      <c r="A61" s="56" t="s">
        <v>43</v>
      </c>
      <c r="B61" s="57"/>
      <c r="C61" s="57"/>
      <c r="D61" s="58"/>
      <c r="E61" s="59">
        <f>SUM(E47:E60)</f>
        <v>76</v>
      </c>
      <c r="F61" s="9"/>
      <c r="G61" s="14"/>
    </row>
    <row r="62" spans="1:7" s="16" customFormat="1" ht="15" customHeight="1" x14ac:dyDescent="0.25">
      <c r="A62" s="60"/>
      <c r="B62" s="61"/>
      <c r="C62" s="9"/>
      <c r="D62" s="9"/>
      <c r="E62" s="62"/>
      <c r="F62" s="9"/>
      <c r="G62" s="14"/>
    </row>
    <row r="63" spans="1:7" s="16" customFormat="1" ht="15" customHeight="1" x14ac:dyDescent="0.25">
      <c r="A63" s="2" t="s">
        <v>44</v>
      </c>
      <c r="B63" s="2"/>
      <c r="C63" s="2"/>
      <c r="D63" s="2"/>
      <c r="E63" s="46" t="s">
        <v>28</v>
      </c>
      <c r="F63" s="8"/>
      <c r="G63" s="14"/>
    </row>
    <row r="64" spans="1:7" s="16" customFormat="1" ht="15" customHeight="1" x14ac:dyDescent="0.25">
      <c r="A64" s="47" t="str">
        <f>+A373</f>
        <v>3.1. Veículo Coletor Compactador 15 m³</v>
      </c>
      <c r="B64" s="47"/>
      <c r="C64" s="47"/>
      <c r="D64" s="63"/>
      <c r="E64" s="64">
        <v>10</v>
      </c>
      <c r="F64" s="8"/>
      <c r="G64" s="14"/>
    </row>
    <row r="65" spans="1:7" s="16" customFormat="1" ht="15" customHeight="1" x14ac:dyDescent="0.25">
      <c r="A65" s="47" t="s">
        <v>18</v>
      </c>
      <c r="B65" s="47"/>
      <c r="C65" s="47"/>
      <c r="D65" s="63"/>
      <c r="E65" s="64">
        <v>2</v>
      </c>
      <c r="F65" s="8"/>
      <c r="G65" s="14"/>
    </row>
    <row r="66" spans="1:7" s="16" customFormat="1" x14ac:dyDescent="0.25">
      <c r="A66" s="9"/>
      <c r="B66" s="9"/>
      <c r="C66" s="9"/>
      <c r="D66" s="8"/>
      <c r="E66" s="65"/>
      <c r="F66" s="8"/>
      <c r="G66" s="14"/>
    </row>
    <row r="67" spans="1:7" s="28" customFormat="1" ht="15.75" customHeight="1" x14ac:dyDescent="0.25">
      <c r="A67" s="66" t="s">
        <v>45</v>
      </c>
      <c r="B67" s="67">
        <v>1</v>
      </c>
      <c r="C67" s="27"/>
      <c r="E67" s="68"/>
      <c r="G67" s="27"/>
    </row>
    <row r="68" spans="1:7" s="16" customFormat="1" ht="15.75" customHeight="1" x14ac:dyDescent="0.25">
      <c r="A68" s="9"/>
      <c r="B68" s="9"/>
      <c r="C68" s="9"/>
      <c r="D68" s="8"/>
      <c r="E68" s="65"/>
      <c r="F68" s="8"/>
      <c r="G68" s="14"/>
    </row>
    <row r="69" spans="1:7" ht="15" customHeight="1" x14ac:dyDescent="0.25">
      <c r="A69" s="69" t="s">
        <v>46</v>
      </c>
    </row>
    <row r="70" spans="1:7" ht="11.25" customHeight="1" x14ac:dyDescent="0.25"/>
    <row r="71" spans="1:7" ht="16.149999999999999" customHeight="1" x14ac:dyDescent="0.25">
      <c r="A71" s="70" t="s">
        <v>47</v>
      </c>
    </row>
    <row r="72" spans="1:7" ht="15" customHeight="1" x14ac:dyDescent="0.25">
      <c r="A72" s="71" t="s">
        <v>48</v>
      </c>
      <c r="B72" s="72" t="s">
        <v>49</v>
      </c>
      <c r="C72" s="72" t="s">
        <v>28</v>
      </c>
      <c r="D72" s="73" t="s">
        <v>50</v>
      </c>
      <c r="E72" s="73" t="s">
        <v>51</v>
      </c>
      <c r="F72" s="74" t="s">
        <v>52</v>
      </c>
    </row>
    <row r="73" spans="1:7" ht="15" customHeight="1" x14ac:dyDescent="0.25">
      <c r="A73" s="75" t="s">
        <v>53</v>
      </c>
      <c r="B73" s="76" t="s">
        <v>54</v>
      </c>
      <c r="C73" s="76">
        <v>1</v>
      </c>
      <c r="D73" s="77">
        <v>1549.57</v>
      </c>
      <c r="E73" s="78">
        <f>C73*D73</f>
        <v>1549.57</v>
      </c>
      <c r="F73" s="79"/>
    </row>
    <row r="74" spans="1:7" ht="15" customHeight="1" x14ac:dyDescent="0.25">
      <c r="A74" s="80" t="s">
        <v>55</v>
      </c>
      <c r="B74" s="81" t="s">
        <v>56</v>
      </c>
      <c r="C74" s="81">
        <v>7.33</v>
      </c>
      <c r="D74" s="82">
        <f>D73/220*2</f>
        <v>14.087</v>
      </c>
      <c r="E74" s="82">
        <f>C74*D74</f>
        <v>103.25771</v>
      </c>
      <c r="F74" s="79"/>
    </row>
    <row r="75" spans="1:7" ht="15" customHeight="1" x14ac:dyDescent="0.25">
      <c r="A75" s="80" t="s">
        <v>57</v>
      </c>
      <c r="B75" s="81" t="s">
        <v>56</v>
      </c>
      <c r="C75" s="81">
        <v>5.2</v>
      </c>
      <c r="D75" s="82">
        <f>D73/220*1.5</f>
        <v>10.565249999999999</v>
      </c>
      <c r="E75" s="82">
        <f>C75*D75</f>
        <v>54.939299999999996</v>
      </c>
      <c r="F75" s="79"/>
    </row>
    <row r="76" spans="1:7" ht="15" customHeight="1" x14ac:dyDescent="0.25">
      <c r="A76" s="80" t="s">
        <v>58</v>
      </c>
      <c r="B76" s="81" t="s">
        <v>59</v>
      </c>
      <c r="C76" s="83"/>
      <c r="D76" s="82">
        <f>63/302*(SUM(E74:E75))</f>
        <v>33.001363013245033</v>
      </c>
      <c r="E76" s="82">
        <f>D76</f>
        <v>33.001363013245033</v>
      </c>
      <c r="F76" s="79"/>
    </row>
    <row r="77" spans="1:7" ht="15" customHeight="1" x14ac:dyDescent="0.25">
      <c r="A77" s="80" t="s">
        <v>60</v>
      </c>
      <c r="B77" s="81" t="s">
        <v>5</v>
      </c>
      <c r="C77" s="81">
        <v>40</v>
      </c>
      <c r="D77" s="82">
        <f>D73</f>
        <v>1549.57</v>
      </c>
      <c r="E77" s="82">
        <f>C77*D77/100</f>
        <v>619.82799999999997</v>
      </c>
      <c r="F77" s="79"/>
    </row>
    <row r="78" spans="1:7" ht="15" customHeight="1" x14ac:dyDescent="0.25">
      <c r="A78" s="84" t="s">
        <v>61</v>
      </c>
      <c r="B78" s="85"/>
      <c r="C78" s="85"/>
      <c r="D78" s="86"/>
      <c r="E78" s="87">
        <f>SUM(E73:E77)</f>
        <v>2360.5963730132453</v>
      </c>
      <c r="F78" s="79"/>
    </row>
    <row r="79" spans="1:7" ht="15" customHeight="1" x14ac:dyDescent="0.25">
      <c r="A79" s="80" t="s">
        <v>62</v>
      </c>
      <c r="B79" s="81" t="s">
        <v>5</v>
      </c>
      <c r="C79" s="88">
        <v>70.81</v>
      </c>
      <c r="D79" s="82">
        <f>E78</f>
        <v>2360.5963730132453</v>
      </c>
      <c r="E79" s="82">
        <f>D79*C79/100</f>
        <v>1671.538291730679</v>
      </c>
      <c r="F79" s="79"/>
    </row>
    <row r="80" spans="1:7" ht="15" customHeight="1" x14ac:dyDescent="0.25">
      <c r="A80" s="80" t="s">
        <v>63</v>
      </c>
      <c r="B80" s="81" t="s">
        <v>49</v>
      </c>
      <c r="C80" s="88">
        <v>1</v>
      </c>
      <c r="D80" s="82">
        <v>17.32</v>
      </c>
      <c r="E80" s="82">
        <f>D80</f>
        <v>17.32</v>
      </c>
      <c r="F80" s="79"/>
    </row>
    <row r="81" spans="1:7" ht="15" customHeight="1" x14ac:dyDescent="0.25">
      <c r="A81" s="84" t="s">
        <v>64</v>
      </c>
      <c r="B81" s="85"/>
      <c r="C81" s="85"/>
      <c r="D81" s="86"/>
      <c r="E81" s="87">
        <f>E78+E79+E80</f>
        <v>4049.4546647439242</v>
      </c>
      <c r="F81" s="79"/>
    </row>
    <row r="82" spans="1:7" ht="15" customHeight="1" x14ac:dyDescent="0.25">
      <c r="A82" s="80" t="s">
        <v>65</v>
      </c>
      <c r="B82" s="81" t="s">
        <v>66</v>
      </c>
      <c r="C82" s="89">
        <f>E47</f>
        <v>27</v>
      </c>
      <c r="D82" s="82">
        <f>E81</f>
        <v>4049.4546647439242</v>
      </c>
      <c r="E82" s="82">
        <f>C82*D82</f>
        <v>109335.27594808595</v>
      </c>
      <c r="F82" s="79"/>
      <c r="G82" s="14"/>
    </row>
    <row r="83" spans="1:7" ht="13.9" customHeight="1" x14ac:dyDescent="0.25">
      <c r="C83" s="90"/>
      <c r="D83" s="91" t="s">
        <v>67</v>
      </c>
      <c r="E83" s="92">
        <f>$B$67</f>
        <v>1</v>
      </c>
      <c r="F83" s="93">
        <f>E82*E83</f>
        <v>109335.27594808595</v>
      </c>
      <c r="G83" s="14"/>
    </row>
    <row r="84" spans="1:7" ht="11.25" customHeight="1" x14ac:dyDescent="0.25">
      <c r="C84" s="90"/>
    </row>
    <row r="85" spans="1:7" ht="15.75" x14ac:dyDescent="0.25">
      <c r="A85" s="70" t="s">
        <v>68</v>
      </c>
      <c r="C85" s="90"/>
    </row>
    <row r="86" spans="1:7" x14ac:dyDescent="0.25">
      <c r="A86" s="71" t="s">
        <v>48</v>
      </c>
      <c r="B86" s="72" t="s">
        <v>49</v>
      </c>
      <c r="C86" s="72" t="s">
        <v>28</v>
      </c>
      <c r="D86" s="73" t="s">
        <v>50</v>
      </c>
      <c r="E86" s="73" t="s">
        <v>51</v>
      </c>
      <c r="F86" s="74" t="s">
        <v>52</v>
      </c>
    </row>
    <row r="87" spans="1:7" ht="15" customHeight="1" x14ac:dyDescent="0.25">
      <c r="A87" s="94" t="s">
        <v>53</v>
      </c>
      <c r="B87" s="95" t="s">
        <v>54</v>
      </c>
      <c r="C87" s="95">
        <v>1</v>
      </c>
      <c r="D87" s="78">
        <f>D73</f>
        <v>1549.57</v>
      </c>
      <c r="E87" s="96">
        <f>C87*D87</f>
        <v>1549.57</v>
      </c>
    </row>
    <row r="88" spans="1:7" ht="15" customHeight="1" x14ac:dyDescent="0.25">
      <c r="A88" s="63" t="s">
        <v>69</v>
      </c>
      <c r="B88" s="97" t="s">
        <v>70</v>
      </c>
      <c r="C88" s="97">
        <v>5.33</v>
      </c>
      <c r="D88" s="98"/>
      <c r="E88" s="98"/>
    </row>
    <row r="89" spans="1:7" ht="15" customHeight="1" x14ac:dyDescent="0.25">
      <c r="A89" s="63"/>
      <c r="B89" s="97" t="s">
        <v>71</v>
      </c>
      <c r="C89" s="99">
        <f>C88*8/7</f>
        <v>6.0914285714285716</v>
      </c>
      <c r="D89" s="98">
        <f>D87/220*0.2</f>
        <v>1.4087000000000001</v>
      </c>
      <c r="E89" s="98">
        <f>C89*D89</f>
        <v>8.5809954285714287</v>
      </c>
    </row>
    <row r="90" spans="1:7" ht="15" customHeight="1" x14ac:dyDescent="0.25">
      <c r="A90" s="63" t="s">
        <v>55</v>
      </c>
      <c r="B90" s="97" t="s">
        <v>56</v>
      </c>
      <c r="C90" s="97">
        <v>0</v>
      </c>
      <c r="D90" s="98">
        <f>D87/220*2</f>
        <v>14.087</v>
      </c>
      <c r="E90" s="98">
        <f>C90*D90</f>
        <v>0</v>
      </c>
    </row>
    <row r="91" spans="1:7" ht="15" customHeight="1" x14ac:dyDescent="0.25">
      <c r="A91" s="63" t="s">
        <v>72</v>
      </c>
      <c r="B91" s="97" t="s">
        <v>70</v>
      </c>
      <c r="C91" s="97">
        <v>7.33</v>
      </c>
      <c r="D91" s="98"/>
      <c r="E91" s="98"/>
    </row>
    <row r="92" spans="1:7" ht="15" customHeight="1" x14ac:dyDescent="0.25">
      <c r="A92" s="63"/>
      <c r="B92" s="97" t="s">
        <v>71</v>
      </c>
      <c r="C92" s="99">
        <f>C91*8/7</f>
        <v>8.3771428571428572</v>
      </c>
      <c r="D92" s="98">
        <f>D87/220*2*1.2</f>
        <v>16.904399999999999</v>
      </c>
      <c r="E92" s="98">
        <f>C92*D92</f>
        <v>141.61057371428572</v>
      </c>
    </row>
    <row r="93" spans="1:7" ht="15" customHeight="1" x14ac:dyDescent="0.25">
      <c r="A93" s="63" t="s">
        <v>57</v>
      </c>
      <c r="B93" s="97" t="s">
        <v>56</v>
      </c>
      <c r="C93" s="97">
        <v>0</v>
      </c>
      <c r="D93" s="98">
        <f>D87/220*1.5</f>
        <v>10.565249999999999</v>
      </c>
      <c r="E93" s="98">
        <f>C93*D93</f>
        <v>0</v>
      </c>
    </row>
    <row r="94" spans="1:7" ht="15" customHeight="1" x14ac:dyDescent="0.25">
      <c r="A94" s="63" t="s">
        <v>73</v>
      </c>
      <c r="B94" s="97" t="s">
        <v>70</v>
      </c>
      <c r="C94" s="97">
        <v>10.4</v>
      </c>
      <c r="D94" s="98"/>
      <c r="E94" s="98"/>
    </row>
    <row r="95" spans="1:7" ht="15" customHeight="1" x14ac:dyDescent="0.25">
      <c r="A95" s="63"/>
      <c r="B95" s="97" t="s">
        <v>71</v>
      </c>
      <c r="C95" s="99">
        <f>C94*8/7</f>
        <v>11.885714285714286</v>
      </c>
      <c r="D95" s="98">
        <f>D87/220*1.5*1.2</f>
        <v>12.678299999999998</v>
      </c>
      <c r="E95" s="98">
        <f>C95*D95</f>
        <v>150.69065142857141</v>
      </c>
    </row>
    <row r="96" spans="1:7" ht="15" customHeight="1" x14ac:dyDescent="0.25">
      <c r="A96" s="63" t="s">
        <v>58</v>
      </c>
      <c r="B96" s="97" t="s">
        <v>59</v>
      </c>
      <c r="C96" s="90"/>
      <c r="D96" s="98">
        <f>63/302*(SUM(E90:E95))</f>
        <v>60.976745642384103</v>
      </c>
      <c r="E96" s="98">
        <f>D96</f>
        <v>60.976745642384103</v>
      </c>
    </row>
    <row r="97" spans="1:7" ht="15" customHeight="1" x14ac:dyDescent="0.25">
      <c r="A97" s="63" t="s">
        <v>60</v>
      </c>
      <c r="B97" s="97" t="s">
        <v>5</v>
      </c>
      <c r="C97" s="97">
        <f>+C77</f>
        <v>40</v>
      </c>
      <c r="D97" s="98">
        <f>D87</f>
        <v>1549.57</v>
      </c>
      <c r="E97" s="98">
        <f>C97*D97/100</f>
        <v>619.82799999999997</v>
      </c>
    </row>
    <row r="98" spans="1:7" ht="15" customHeight="1" x14ac:dyDescent="0.25">
      <c r="A98" s="100" t="s">
        <v>61</v>
      </c>
      <c r="B98" s="101"/>
      <c r="C98" s="101"/>
      <c r="D98" s="102"/>
      <c r="E98" s="103">
        <f>SUM(E87:E97)</f>
        <v>2531.2569662138121</v>
      </c>
    </row>
    <row r="99" spans="1:7" ht="15" customHeight="1" x14ac:dyDescent="0.25">
      <c r="A99" s="63" t="s">
        <v>62</v>
      </c>
      <c r="B99" s="97" t="s">
        <v>5</v>
      </c>
      <c r="C99" s="104">
        <v>70.81</v>
      </c>
      <c r="D99" s="98">
        <f>E98</f>
        <v>2531.2569662138121</v>
      </c>
      <c r="E99" s="98">
        <f>D99*C99/100</f>
        <v>1792.3830577760004</v>
      </c>
    </row>
    <row r="100" spans="1:7" ht="15" customHeight="1" x14ac:dyDescent="0.25">
      <c r="A100" s="80" t="s">
        <v>63</v>
      </c>
      <c r="B100" s="81" t="s">
        <v>49</v>
      </c>
      <c r="C100" s="88">
        <v>1</v>
      </c>
      <c r="D100" s="82">
        <v>17.32</v>
      </c>
      <c r="E100" s="82">
        <f>D100</f>
        <v>17.32</v>
      </c>
    </row>
    <row r="101" spans="1:7" ht="15" customHeight="1" x14ac:dyDescent="0.25">
      <c r="A101" s="100" t="s">
        <v>64</v>
      </c>
      <c r="B101" s="101"/>
      <c r="C101" s="101"/>
      <c r="D101" s="102"/>
      <c r="E101" s="103">
        <f>E98+E99+E100</f>
        <v>4340.9600239898118</v>
      </c>
    </row>
    <row r="102" spans="1:7" ht="15" customHeight="1" x14ac:dyDescent="0.25">
      <c r="A102" s="63" t="s">
        <v>65</v>
      </c>
      <c r="B102" s="97" t="s">
        <v>66</v>
      </c>
      <c r="C102" s="89">
        <f>E48</f>
        <v>20</v>
      </c>
      <c r="D102" s="98">
        <f>E101</f>
        <v>4340.9600239898118</v>
      </c>
      <c r="E102" s="98">
        <f>C102*D102</f>
        <v>86819.200479796244</v>
      </c>
    </row>
    <row r="103" spans="1:7" x14ac:dyDescent="0.25">
      <c r="C103" s="90"/>
      <c r="D103" s="91" t="s">
        <v>67</v>
      </c>
      <c r="E103" s="105">
        <f>$B$67</f>
        <v>1</v>
      </c>
      <c r="F103" s="93">
        <f>E102*E103</f>
        <v>86819.200479796244</v>
      </c>
    </row>
    <row r="104" spans="1:7" ht="11.25" customHeight="1" x14ac:dyDescent="0.25">
      <c r="C104" s="90"/>
    </row>
    <row r="105" spans="1:7" ht="15.75" x14ac:dyDescent="0.25">
      <c r="A105" s="70" t="s">
        <v>74</v>
      </c>
      <c r="C105" s="90"/>
    </row>
    <row r="106" spans="1:7" s="106" customFormat="1" ht="13.15" customHeight="1" x14ac:dyDescent="0.25">
      <c r="A106" s="71" t="s">
        <v>48</v>
      </c>
      <c r="B106" s="72" t="s">
        <v>49</v>
      </c>
      <c r="C106" s="72" t="s">
        <v>28</v>
      </c>
      <c r="D106" s="73" t="s">
        <v>50</v>
      </c>
      <c r="E106" s="73" t="s">
        <v>51</v>
      </c>
      <c r="F106" s="74" t="s">
        <v>52</v>
      </c>
      <c r="G106" s="9"/>
    </row>
    <row r="107" spans="1:7" ht="15" customHeight="1" x14ac:dyDescent="0.25">
      <c r="A107" s="94" t="s">
        <v>75</v>
      </c>
      <c r="B107" s="95" t="s">
        <v>54</v>
      </c>
      <c r="C107" s="95">
        <v>1</v>
      </c>
      <c r="D107" s="78">
        <v>1774.42</v>
      </c>
      <c r="E107" s="96">
        <f>C107*D107</f>
        <v>1774.42</v>
      </c>
      <c r="G107" s="79"/>
    </row>
    <row r="108" spans="1:7" ht="15" customHeight="1" x14ac:dyDescent="0.25">
      <c r="A108" s="94" t="s">
        <v>76</v>
      </c>
      <c r="B108" s="95" t="s">
        <v>54</v>
      </c>
      <c r="C108" s="95">
        <v>1</v>
      </c>
      <c r="D108" s="96">
        <v>1212</v>
      </c>
      <c r="E108" s="96"/>
    </row>
    <row r="109" spans="1:7" ht="15" customHeight="1" x14ac:dyDescent="0.25">
      <c r="A109" s="94" t="s">
        <v>77</v>
      </c>
      <c r="B109" s="95"/>
      <c r="C109" s="95">
        <v>1</v>
      </c>
      <c r="D109" s="96">
        <f>ROUND(D107*26*0.00023,2)</f>
        <v>10.61</v>
      </c>
      <c r="E109" s="96"/>
    </row>
    <row r="110" spans="1:7" ht="15" customHeight="1" x14ac:dyDescent="0.25">
      <c r="A110" s="63" t="s">
        <v>55</v>
      </c>
      <c r="B110" s="97" t="s">
        <v>56</v>
      </c>
      <c r="C110" s="97">
        <v>7.33</v>
      </c>
      <c r="D110" s="98">
        <f>D107/220*2</f>
        <v>16.131090909090911</v>
      </c>
      <c r="E110" s="98">
        <f>C110*D110</f>
        <v>118.24089636363638</v>
      </c>
    </row>
    <row r="111" spans="1:7" ht="15" customHeight="1" x14ac:dyDescent="0.25">
      <c r="A111" s="63" t="s">
        <v>57</v>
      </c>
      <c r="B111" s="97" t="s">
        <v>56</v>
      </c>
      <c r="C111" s="97">
        <v>5.2</v>
      </c>
      <c r="D111" s="98">
        <f>D107/220*1.5</f>
        <v>12.098318181818183</v>
      </c>
      <c r="E111" s="98">
        <f>C111*D111</f>
        <v>62.911254545454554</v>
      </c>
    </row>
    <row r="112" spans="1:7" ht="15" customHeight="1" x14ac:dyDescent="0.25">
      <c r="A112" s="63" t="s">
        <v>78</v>
      </c>
      <c r="B112" s="97" t="s">
        <v>5</v>
      </c>
      <c r="C112" s="97">
        <v>2.59</v>
      </c>
      <c r="D112" s="98">
        <v>43.76</v>
      </c>
      <c r="E112" s="98">
        <f>D112</f>
        <v>43.76</v>
      </c>
    </row>
    <row r="113" spans="1:7" ht="15" customHeight="1" x14ac:dyDescent="0.25">
      <c r="A113" s="63" t="s">
        <v>58</v>
      </c>
      <c r="B113" s="97" t="s">
        <v>59</v>
      </c>
      <c r="C113" s="90"/>
      <c r="D113" s="98">
        <f>63/302*(SUM(E110:E111))</f>
        <v>37.790018236002417</v>
      </c>
      <c r="E113" s="98">
        <f>D113</f>
        <v>37.790018236002417</v>
      </c>
    </row>
    <row r="114" spans="1:7" ht="15" customHeight="1" x14ac:dyDescent="0.25">
      <c r="A114" s="63" t="s">
        <v>79</v>
      </c>
      <c r="B114" s="97"/>
      <c r="C114" s="97">
        <v>2</v>
      </c>
      <c r="D114" s="98"/>
      <c r="E114" s="98"/>
    </row>
    <row r="115" spans="1:7" ht="15" customHeight="1" x14ac:dyDescent="0.25">
      <c r="A115" s="63" t="s">
        <v>60</v>
      </c>
      <c r="B115" s="97" t="s">
        <v>5</v>
      </c>
      <c r="C115" s="97">
        <v>40</v>
      </c>
      <c r="D115" s="98">
        <f>D107</f>
        <v>1774.42</v>
      </c>
      <c r="E115" s="98">
        <f>C115*D115/100</f>
        <v>709.76800000000003</v>
      </c>
    </row>
    <row r="116" spans="1:7" s="28" customFormat="1" ht="15" customHeight="1" x14ac:dyDescent="0.25">
      <c r="A116" s="107" t="s">
        <v>61</v>
      </c>
      <c r="B116" s="101"/>
      <c r="C116" s="101"/>
      <c r="D116" s="102"/>
      <c r="E116" s="108">
        <f>SUM(E107:E115)</f>
        <v>2746.8901691450938</v>
      </c>
      <c r="F116" s="27"/>
      <c r="G116" s="27"/>
    </row>
    <row r="117" spans="1:7" ht="15" customHeight="1" x14ac:dyDescent="0.25">
      <c r="A117" s="63" t="s">
        <v>62</v>
      </c>
      <c r="B117" s="97" t="s">
        <v>5</v>
      </c>
      <c r="C117" s="104">
        <v>70.81</v>
      </c>
      <c r="D117" s="98">
        <f>E116</f>
        <v>2746.8901691450938</v>
      </c>
      <c r="E117" s="98">
        <f>D117*C117/100</f>
        <v>1945.0729287716408</v>
      </c>
    </row>
    <row r="118" spans="1:7" s="28" customFormat="1" ht="15" customHeight="1" x14ac:dyDescent="0.25">
      <c r="A118" s="107" t="s">
        <v>80</v>
      </c>
      <c r="B118" s="109"/>
      <c r="C118" s="109"/>
      <c r="D118" s="110"/>
      <c r="E118" s="108">
        <f>SUM(E116:E117)</f>
        <v>4691.9630979167341</v>
      </c>
      <c r="F118" s="27"/>
      <c r="G118" s="27"/>
    </row>
    <row r="119" spans="1:7" ht="15" customHeight="1" x14ac:dyDescent="0.25">
      <c r="A119" s="63" t="s">
        <v>65</v>
      </c>
      <c r="B119" s="97" t="s">
        <v>66</v>
      </c>
      <c r="C119" s="89">
        <f>E49</f>
        <v>9</v>
      </c>
      <c r="D119" s="98">
        <f>E118</f>
        <v>4691.9630979167341</v>
      </c>
      <c r="E119" s="98">
        <f>C119*D119</f>
        <v>42227.667881250607</v>
      </c>
    </row>
    <row r="120" spans="1:7" x14ac:dyDescent="0.25">
      <c r="C120" s="90"/>
      <c r="D120" s="91" t="s">
        <v>81</v>
      </c>
      <c r="E120" s="105">
        <v>1</v>
      </c>
      <c r="F120" s="93">
        <f>E119*E120</f>
        <v>42227.667881250607</v>
      </c>
    </row>
    <row r="121" spans="1:7" ht="11.25" customHeight="1" x14ac:dyDescent="0.25">
      <c r="C121" s="90"/>
    </row>
    <row r="122" spans="1:7" ht="15.75" x14ac:dyDescent="0.25">
      <c r="A122" s="70" t="s">
        <v>82</v>
      </c>
      <c r="C122" s="90"/>
    </row>
    <row r="123" spans="1:7" ht="15" customHeight="1" x14ac:dyDescent="0.25">
      <c r="A123" s="71" t="s">
        <v>48</v>
      </c>
      <c r="B123" s="72" t="s">
        <v>49</v>
      </c>
      <c r="C123" s="72" t="s">
        <v>28</v>
      </c>
      <c r="D123" s="73" t="s">
        <v>50</v>
      </c>
      <c r="E123" s="73" t="s">
        <v>51</v>
      </c>
      <c r="F123" s="74" t="s">
        <v>52</v>
      </c>
      <c r="G123" s="79"/>
    </row>
    <row r="124" spans="1:7" ht="15" customHeight="1" x14ac:dyDescent="0.25">
      <c r="A124" s="94" t="s">
        <v>53</v>
      </c>
      <c r="B124" s="95" t="s">
        <v>54</v>
      </c>
      <c r="C124" s="95">
        <v>1</v>
      </c>
      <c r="D124" s="78">
        <f>D107</f>
        <v>1774.42</v>
      </c>
      <c r="E124" s="96">
        <f>C124*D124</f>
        <v>1774.42</v>
      </c>
    </row>
    <row r="125" spans="1:7" ht="15" customHeight="1" x14ac:dyDescent="0.25">
      <c r="A125" s="94" t="s">
        <v>78</v>
      </c>
      <c r="B125" s="95">
        <v>1</v>
      </c>
      <c r="C125" s="95">
        <v>2.59</v>
      </c>
      <c r="D125" s="98">
        <v>43.76</v>
      </c>
      <c r="E125" s="96">
        <f>D125</f>
        <v>43.76</v>
      </c>
    </row>
    <row r="126" spans="1:7" ht="15" customHeight="1" x14ac:dyDescent="0.25">
      <c r="A126" s="94" t="s">
        <v>77</v>
      </c>
      <c r="B126" s="95">
        <v>1</v>
      </c>
      <c r="C126" s="95">
        <v>1</v>
      </c>
      <c r="D126" s="98">
        <f>ROUND(D124*26*0.00023,2)</f>
        <v>10.61</v>
      </c>
      <c r="E126" s="96">
        <f>D126</f>
        <v>10.61</v>
      </c>
    </row>
    <row r="127" spans="1:7" ht="15" customHeight="1" x14ac:dyDescent="0.25">
      <c r="A127" s="94" t="s">
        <v>83</v>
      </c>
      <c r="B127" s="95" t="s">
        <v>54</v>
      </c>
      <c r="C127" s="95">
        <v>1</v>
      </c>
      <c r="D127" s="98">
        <f>D108</f>
        <v>1212</v>
      </c>
      <c r="E127" s="111"/>
    </row>
    <row r="128" spans="1:7" ht="15" customHeight="1" x14ac:dyDescent="0.25">
      <c r="A128" s="63" t="s">
        <v>69</v>
      </c>
      <c r="B128" s="97" t="s">
        <v>70</v>
      </c>
      <c r="C128" s="97">
        <v>5.33</v>
      </c>
      <c r="D128" s="63"/>
      <c r="E128" s="63"/>
    </row>
    <row r="129" spans="1:7" ht="15" customHeight="1" x14ac:dyDescent="0.25">
      <c r="A129" s="63"/>
      <c r="B129" s="97" t="s">
        <v>71</v>
      </c>
      <c r="C129" s="99">
        <f>C128*8/7</f>
        <v>6.0914285714285716</v>
      </c>
      <c r="D129" s="98">
        <f>D124/220*0.2</f>
        <v>1.6131090909090913</v>
      </c>
      <c r="E129" s="98">
        <f>C129*D129</f>
        <v>9.8261388051948071</v>
      </c>
    </row>
    <row r="130" spans="1:7" ht="15" customHeight="1" x14ac:dyDescent="0.25">
      <c r="A130" s="63" t="s">
        <v>55</v>
      </c>
      <c r="B130" s="97" t="s">
        <v>56</v>
      </c>
      <c r="C130" s="97">
        <v>0</v>
      </c>
      <c r="D130" s="98">
        <f>D124/220*2</f>
        <v>16.131090909090911</v>
      </c>
      <c r="E130" s="98">
        <f>C130*D130</f>
        <v>0</v>
      </c>
    </row>
    <row r="131" spans="1:7" ht="15" customHeight="1" x14ac:dyDescent="0.25">
      <c r="A131" s="63" t="s">
        <v>72</v>
      </c>
      <c r="B131" s="97" t="s">
        <v>70</v>
      </c>
      <c r="C131" s="97">
        <v>7.33</v>
      </c>
      <c r="D131" s="98"/>
      <c r="E131" s="98"/>
    </row>
    <row r="132" spans="1:7" ht="15" customHeight="1" x14ac:dyDescent="0.25">
      <c r="A132" s="63"/>
      <c r="B132" s="97" t="s">
        <v>71</v>
      </c>
      <c r="C132" s="99">
        <f>C131*8/7</f>
        <v>8.3771428571428572</v>
      </c>
      <c r="D132" s="98">
        <f>D124/220*2*1.2</f>
        <v>19.357309090909094</v>
      </c>
      <c r="E132" s="98">
        <f>C132*D132</f>
        <v>162.15894358441562</v>
      </c>
    </row>
    <row r="133" spans="1:7" ht="15" customHeight="1" x14ac:dyDescent="0.25">
      <c r="A133" s="63" t="s">
        <v>57</v>
      </c>
      <c r="B133" s="97" t="s">
        <v>56</v>
      </c>
      <c r="C133" s="97">
        <v>0</v>
      </c>
      <c r="D133" s="98">
        <f>D124/220*1.5</f>
        <v>12.098318181818183</v>
      </c>
      <c r="E133" s="98">
        <f>C133*D133</f>
        <v>0</v>
      </c>
    </row>
    <row r="134" spans="1:7" ht="15" customHeight="1" x14ac:dyDescent="0.25">
      <c r="A134" s="63" t="s">
        <v>73</v>
      </c>
      <c r="B134" s="97" t="s">
        <v>70</v>
      </c>
      <c r="C134" s="97">
        <v>6.6</v>
      </c>
      <c r="D134" s="98"/>
      <c r="E134" s="98"/>
    </row>
    <row r="135" spans="1:7" ht="15" customHeight="1" x14ac:dyDescent="0.25">
      <c r="A135" s="63"/>
      <c r="B135" s="97" t="s">
        <v>71</v>
      </c>
      <c r="C135" s="99">
        <f>C134*8/7</f>
        <v>7.5428571428571427</v>
      </c>
      <c r="D135" s="98">
        <f>D124/220*1.5*1.2</f>
        <v>14.517981818181818</v>
      </c>
      <c r="E135" s="98">
        <f>C135*D135</f>
        <v>109.50706285714286</v>
      </c>
    </row>
    <row r="136" spans="1:7" ht="15" customHeight="1" x14ac:dyDescent="0.25">
      <c r="A136" s="63" t="s">
        <v>58</v>
      </c>
      <c r="B136" s="97" t="s">
        <v>59</v>
      </c>
      <c r="C136" s="90"/>
      <c r="D136" s="98">
        <f>63/302*(SUM(E130:E135))</f>
        <v>56.672047701384713</v>
      </c>
      <c r="E136" s="98">
        <f>D136</f>
        <v>56.672047701384713</v>
      </c>
    </row>
    <row r="137" spans="1:7" ht="15" customHeight="1" x14ac:dyDescent="0.25">
      <c r="A137" s="63" t="s">
        <v>79</v>
      </c>
      <c r="B137" s="97"/>
      <c r="C137" s="97">
        <v>2</v>
      </c>
      <c r="D137" s="98"/>
      <c r="E137" s="98"/>
    </row>
    <row r="138" spans="1:7" ht="15" customHeight="1" x14ac:dyDescent="0.25">
      <c r="A138" s="63" t="s">
        <v>60</v>
      </c>
      <c r="B138" s="97" t="s">
        <v>5</v>
      </c>
      <c r="C138" s="104">
        <f>+C115</f>
        <v>40</v>
      </c>
      <c r="D138" s="98">
        <f>D124</f>
        <v>1774.42</v>
      </c>
      <c r="E138" s="98">
        <f>C138*D138/100</f>
        <v>709.76800000000003</v>
      </c>
    </row>
    <row r="139" spans="1:7" s="28" customFormat="1" ht="15" customHeight="1" x14ac:dyDescent="0.25">
      <c r="A139" s="100" t="s">
        <v>61</v>
      </c>
      <c r="B139" s="101"/>
      <c r="C139" s="101"/>
      <c r="D139" s="102"/>
      <c r="E139" s="103">
        <f>SUM(E124:E138)</f>
        <v>2876.7221929481379</v>
      </c>
      <c r="F139" s="27"/>
      <c r="G139" s="27"/>
    </row>
    <row r="140" spans="1:7" ht="15" customHeight="1" x14ac:dyDescent="0.25">
      <c r="A140" s="63" t="s">
        <v>62</v>
      </c>
      <c r="B140" s="97" t="s">
        <v>5</v>
      </c>
      <c r="C140" s="104">
        <v>70.81</v>
      </c>
      <c r="D140" s="98">
        <f>E139</f>
        <v>2876.7221929481379</v>
      </c>
      <c r="E140" s="98">
        <f>D140*C140/100</f>
        <v>2037.0069848265766</v>
      </c>
    </row>
    <row r="141" spans="1:7" s="28" customFormat="1" ht="15" customHeight="1" x14ac:dyDescent="0.25">
      <c r="A141" s="100" t="s">
        <v>80</v>
      </c>
      <c r="B141" s="101"/>
      <c r="C141" s="101"/>
      <c r="D141" s="102"/>
      <c r="E141" s="103">
        <f>E139+E140</f>
        <v>4913.7291777747141</v>
      </c>
      <c r="F141" s="27"/>
      <c r="G141" s="27"/>
    </row>
    <row r="142" spans="1:7" ht="15" customHeight="1" x14ac:dyDescent="0.25">
      <c r="A142" s="112" t="s">
        <v>65</v>
      </c>
      <c r="B142" s="113" t="s">
        <v>66</v>
      </c>
      <c r="C142" s="114">
        <f>E50</f>
        <v>8</v>
      </c>
      <c r="D142" s="115">
        <f>E141</f>
        <v>4913.7291777747141</v>
      </c>
      <c r="E142" s="115">
        <f>C142*D142</f>
        <v>39309.833422197713</v>
      </c>
    </row>
    <row r="143" spans="1:7" x14ac:dyDescent="0.25">
      <c r="A143" s="112"/>
      <c r="B143" s="112"/>
      <c r="C143" s="113"/>
      <c r="D143" s="116" t="s">
        <v>67</v>
      </c>
      <c r="E143" s="105">
        <f>$B$67</f>
        <v>1</v>
      </c>
      <c r="F143" s="93">
        <f>E142*E143</f>
        <v>39309.833422197713</v>
      </c>
    </row>
    <row r="144" spans="1:7" x14ac:dyDescent="0.25">
      <c r="C144" s="90"/>
      <c r="D144" s="91"/>
      <c r="F144" s="102"/>
    </row>
    <row r="145" spans="1:7" ht="15.75" x14ac:dyDescent="0.25">
      <c r="A145" s="70" t="s">
        <v>84</v>
      </c>
      <c r="C145" s="90"/>
      <c r="D145" s="91"/>
      <c r="F145" s="102"/>
    </row>
    <row r="146" spans="1:7" ht="15" customHeight="1" x14ac:dyDescent="0.25">
      <c r="A146" s="117" t="s">
        <v>48</v>
      </c>
      <c r="B146" s="118" t="s">
        <v>49</v>
      </c>
      <c r="C146" s="118" t="s">
        <v>28</v>
      </c>
      <c r="D146" s="119" t="s">
        <v>50</v>
      </c>
      <c r="E146" s="120" t="s">
        <v>51</v>
      </c>
      <c r="F146" s="120" t="s">
        <v>52</v>
      </c>
    </row>
    <row r="147" spans="1:7" ht="15" customHeight="1" x14ac:dyDescent="0.25">
      <c r="A147" s="94" t="s">
        <v>53</v>
      </c>
      <c r="B147" s="95" t="s">
        <v>54</v>
      </c>
      <c r="C147" s="95">
        <v>1</v>
      </c>
      <c r="D147" s="96">
        <v>2388.9</v>
      </c>
      <c r="E147" s="96">
        <f>C147*D147</f>
        <v>2388.9</v>
      </c>
      <c r="F147" s="102"/>
    </row>
    <row r="148" spans="1:7" ht="15" customHeight="1" x14ac:dyDescent="0.25">
      <c r="A148" s="63" t="s">
        <v>55</v>
      </c>
      <c r="B148" s="97" t="s">
        <v>56</v>
      </c>
      <c r="C148" s="95">
        <v>7.33</v>
      </c>
      <c r="D148" s="96">
        <f>D147/220*2</f>
        <v>21.717272727272729</v>
      </c>
      <c r="E148" s="98">
        <f>C148*D148</f>
        <v>159.18760909090909</v>
      </c>
      <c r="F148" s="102"/>
    </row>
    <row r="149" spans="1:7" ht="15" customHeight="1" x14ac:dyDescent="0.25">
      <c r="A149" s="63" t="s">
        <v>57</v>
      </c>
      <c r="B149" s="97" t="s">
        <v>56</v>
      </c>
      <c r="C149" s="95">
        <v>0</v>
      </c>
      <c r="D149" s="96">
        <f>D147/220*1.5</f>
        <v>16.287954545454546</v>
      </c>
      <c r="E149" s="98">
        <f>C149*D149</f>
        <v>0</v>
      </c>
      <c r="F149" s="102"/>
    </row>
    <row r="150" spans="1:7" ht="15" customHeight="1" x14ac:dyDescent="0.25">
      <c r="A150" s="63" t="s">
        <v>58</v>
      </c>
      <c r="B150" s="97" t="s">
        <v>59</v>
      </c>
      <c r="C150" s="95"/>
      <c r="D150" s="96">
        <f>63/302*(SUM(E148:E149))</f>
        <v>33.208011167971101</v>
      </c>
      <c r="E150" s="98">
        <f>D150</f>
        <v>33.208011167971101</v>
      </c>
      <c r="F150" s="102"/>
    </row>
    <row r="151" spans="1:7" ht="15" customHeight="1" x14ac:dyDescent="0.25">
      <c r="A151" s="63" t="s">
        <v>60</v>
      </c>
      <c r="B151" s="97" t="s">
        <v>5</v>
      </c>
      <c r="C151" s="95">
        <v>40</v>
      </c>
      <c r="D151" s="96">
        <f>D147</f>
        <v>2388.9</v>
      </c>
      <c r="E151" s="98">
        <f>C151*D151/100</f>
        <v>955.56</v>
      </c>
      <c r="F151" s="102"/>
    </row>
    <row r="152" spans="1:7" ht="15" customHeight="1" x14ac:dyDescent="0.25">
      <c r="A152" s="107" t="s">
        <v>61</v>
      </c>
      <c r="B152" s="101"/>
      <c r="C152" s="97"/>
      <c r="D152" s="98"/>
      <c r="E152" s="108">
        <f>SUM(E147:E151)</f>
        <v>3536.8556202588802</v>
      </c>
      <c r="F152" s="102"/>
    </row>
    <row r="153" spans="1:7" ht="15" customHeight="1" x14ac:dyDescent="0.25">
      <c r="A153" s="63" t="s">
        <v>62</v>
      </c>
      <c r="B153" s="97" t="s">
        <v>5</v>
      </c>
      <c r="C153" s="97">
        <v>70.81</v>
      </c>
      <c r="D153" s="98">
        <f>E152</f>
        <v>3536.8556202588802</v>
      </c>
      <c r="E153" s="98">
        <f>D153*C153/100</f>
        <v>2504.447464705313</v>
      </c>
      <c r="F153" s="102"/>
    </row>
    <row r="154" spans="1:7" ht="15" customHeight="1" x14ac:dyDescent="0.25">
      <c r="A154" s="63" t="s">
        <v>85</v>
      </c>
      <c r="B154" s="101"/>
      <c r="C154" s="97"/>
      <c r="D154" s="98"/>
      <c r="E154" s="98">
        <f>E152+E153</f>
        <v>6041.3030849641927</v>
      </c>
      <c r="F154" s="102"/>
    </row>
    <row r="155" spans="1:7" ht="15" customHeight="1" x14ac:dyDescent="0.25">
      <c r="A155" s="107" t="s">
        <v>65</v>
      </c>
      <c r="B155" s="97" t="s">
        <v>66</v>
      </c>
      <c r="C155" s="97">
        <f>E59</f>
        <v>1</v>
      </c>
      <c r="D155" s="98">
        <f>E154</f>
        <v>6041.3030849641927</v>
      </c>
      <c r="E155" s="98">
        <f>C155*D155</f>
        <v>6041.3030849641927</v>
      </c>
      <c r="F155" s="102"/>
    </row>
    <row r="156" spans="1:7" s="8" customFormat="1" ht="15" customHeight="1" x14ac:dyDescent="0.25">
      <c r="B156" s="90"/>
      <c r="C156" s="90"/>
      <c r="D156" s="98" t="s">
        <v>67</v>
      </c>
      <c r="E156" s="121">
        <f>$B$67</f>
        <v>1</v>
      </c>
      <c r="F156" s="93">
        <f>E155*E156</f>
        <v>6041.3030849641927</v>
      </c>
    </row>
    <row r="157" spans="1:7" s="8" customFormat="1" ht="15" customHeight="1" x14ac:dyDescent="0.25">
      <c r="B157" s="90"/>
      <c r="C157" s="90"/>
      <c r="D157" s="122"/>
      <c r="E157" s="122"/>
      <c r="F157" s="102"/>
    </row>
    <row r="158" spans="1:7" s="8" customFormat="1" ht="11.25" customHeight="1" x14ac:dyDescent="0.25">
      <c r="B158" s="90"/>
      <c r="C158" s="90"/>
      <c r="D158" s="122"/>
      <c r="E158" s="122"/>
      <c r="F158" s="102"/>
    </row>
    <row r="159" spans="1:7" ht="16.149999999999999" customHeight="1" x14ac:dyDescent="0.25">
      <c r="A159" s="70" t="s">
        <v>7</v>
      </c>
      <c r="C159" s="90"/>
      <c r="G159" s="8"/>
    </row>
    <row r="160" spans="1:7" s="8" customFormat="1" ht="15" customHeight="1" x14ac:dyDescent="0.25">
      <c r="A160" s="123" t="s">
        <v>48</v>
      </c>
      <c r="B160" s="124" t="s">
        <v>49</v>
      </c>
      <c r="C160" s="124" t="s">
        <v>28</v>
      </c>
      <c r="D160" s="125" t="s">
        <v>50</v>
      </c>
      <c r="E160" s="125" t="s">
        <v>51</v>
      </c>
      <c r="F160" s="126" t="s">
        <v>52</v>
      </c>
    </row>
    <row r="161" spans="1:7" ht="15" customHeight="1" x14ac:dyDescent="0.25">
      <c r="A161" s="63" t="s">
        <v>53</v>
      </c>
      <c r="B161" s="97" t="s">
        <v>54</v>
      </c>
      <c r="C161" s="97">
        <v>1</v>
      </c>
      <c r="D161" s="127">
        <v>1717.39</v>
      </c>
      <c r="E161" s="47">
        <f>C161*D161</f>
        <v>1717.39</v>
      </c>
      <c r="G161" s="8"/>
    </row>
    <row r="162" spans="1:7" ht="15" customHeight="1" x14ac:dyDescent="0.25">
      <c r="A162" s="63" t="s">
        <v>55</v>
      </c>
      <c r="B162" s="97" t="s">
        <v>56</v>
      </c>
      <c r="C162" s="97">
        <v>0</v>
      </c>
      <c r="D162" s="47">
        <f>D161/220*2</f>
        <v>15.612636363636364</v>
      </c>
      <c r="E162" s="47">
        <f>C162*D162</f>
        <v>0</v>
      </c>
      <c r="G162" s="8"/>
    </row>
    <row r="163" spans="1:7" ht="15" customHeight="1" x14ac:dyDescent="0.25">
      <c r="A163" s="63" t="s">
        <v>57</v>
      </c>
      <c r="B163" s="97" t="s">
        <v>56</v>
      </c>
      <c r="C163" s="97">
        <v>0</v>
      </c>
      <c r="D163" s="47">
        <f>D161/220*1.5</f>
        <v>11.709477272727273</v>
      </c>
      <c r="E163" s="47">
        <f>C163*D163</f>
        <v>0</v>
      </c>
      <c r="G163" s="8"/>
    </row>
    <row r="164" spans="1:7" ht="15" customHeight="1" x14ac:dyDescent="0.25">
      <c r="A164" s="63" t="s">
        <v>58</v>
      </c>
      <c r="B164" s="97" t="s">
        <v>59</v>
      </c>
      <c r="C164" s="97"/>
      <c r="D164" s="47">
        <f>63/302*(SUM(E162:E163))</f>
        <v>0</v>
      </c>
      <c r="E164" s="47">
        <f>D164</f>
        <v>0</v>
      </c>
      <c r="G164" s="8"/>
    </row>
    <row r="165" spans="1:7" ht="15" customHeight="1" x14ac:dyDescent="0.25">
      <c r="A165" s="63" t="s">
        <v>60</v>
      </c>
      <c r="B165" s="97" t="s">
        <v>5</v>
      </c>
      <c r="C165" s="97">
        <v>0</v>
      </c>
      <c r="D165" s="47">
        <f>SUM(E161:E164)</f>
        <v>1717.39</v>
      </c>
      <c r="E165" s="47">
        <f>C165*D165/100</f>
        <v>0</v>
      </c>
      <c r="G165" s="8"/>
    </row>
    <row r="166" spans="1:7" ht="15" customHeight="1" x14ac:dyDescent="0.25">
      <c r="A166" s="107" t="s">
        <v>61</v>
      </c>
      <c r="B166" s="63"/>
      <c r="C166" s="97"/>
      <c r="D166" s="47"/>
      <c r="E166" s="128">
        <f>SUM(E161:E165)</f>
        <v>1717.39</v>
      </c>
      <c r="G166" s="8"/>
    </row>
    <row r="167" spans="1:7" ht="15" customHeight="1" x14ac:dyDescent="0.25">
      <c r="A167" s="63" t="s">
        <v>62</v>
      </c>
      <c r="B167" s="97" t="s">
        <v>5</v>
      </c>
      <c r="C167" s="97">
        <v>70.81</v>
      </c>
      <c r="D167" s="47">
        <f>E166</f>
        <v>1717.39</v>
      </c>
      <c r="E167" s="47">
        <f>D167*C167/100</f>
        <v>1216.0838590000001</v>
      </c>
      <c r="G167" s="8"/>
    </row>
    <row r="168" spans="1:7" ht="15" customHeight="1" x14ac:dyDescent="0.25">
      <c r="A168" s="80" t="s">
        <v>63</v>
      </c>
      <c r="B168" s="81" t="s">
        <v>49</v>
      </c>
      <c r="C168" s="88">
        <v>1</v>
      </c>
      <c r="D168" s="82">
        <v>17.32</v>
      </c>
      <c r="E168" s="82">
        <f>D168</f>
        <v>17.32</v>
      </c>
      <c r="G168" s="8"/>
    </row>
    <row r="169" spans="1:7" ht="15" customHeight="1" x14ac:dyDescent="0.25">
      <c r="A169" s="63" t="s">
        <v>86</v>
      </c>
      <c r="B169" s="63"/>
      <c r="C169" s="97"/>
      <c r="D169" s="47"/>
      <c r="E169" s="128">
        <f>E166+E167+E168</f>
        <v>2950.7938590000003</v>
      </c>
      <c r="G169" s="8"/>
    </row>
    <row r="170" spans="1:7" ht="15" customHeight="1" x14ac:dyDescent="0.25">
      <c r="A170" s="107" t="s">
        <v>65</v>
      </c>
      <c r="B170" s="97" t="s">
        <v>66</v>
      </c>
      <c r="C170" s="97">
        <v>2</v>
      </c>
      <c r="D170" s="47">
        <f>E169</f>
        <v>2950.7938590000003</v>
      </c>
      <c r="E170" s="47">
        <f>C170*D170</f>
        <v>5901.5877180000007</v>
      </c>
      <c r="G170" s="8"/>
    </row>
    <row r="171" spans="1:7" s="8" customFormat="1" ht="15" customHeight="1" x14ac:dyDescent="0.25">
      <c r="D171" s="47" t="s">
        <v>67</v>
      </c>
      <c r="E171" s="105">
        <f>$B$67</f>
        <v>1</v>
      </c>
      <c r="F171" s="129">
        <f>E170*E171</f>
        <v>5901.5877180000007</v>
      </c>
    </row>
    <row r="172" spans="1:7" ht="11.25" customHeight="1" x14ac:dyDescent="0.25">
      <c r="F172" s="27"/>
      <c r="G172" s="8"/>
    </row>
    <row r="173" spans="1:7" ht="11.25" customHeight="1" x14ac:dyDescent="0.25">
      <c r="F173" s="27"/>
      <c r="G173" s="8"/>
    </row>
    <row r="174" spans="1:7" ht="16.149999999999999" customHeight="1" x14ac:dyDescent="0.25">
      <c r="A174" s="70" t="s">
        <v>87</v>
      </c>
      <c r="F174" s="27"/>
      <c r="G174" s="8"/>
    </row>
    <row r="175" spans="1:7" s="8" customFormat="1" ht="11.25" customHeight="1" x14ac:dyDescent="0.25">
      <c r="A175" s="123" t="s">
        <v>48</v>
      </c>
      <c r="B175" s="124" t="s">
        <v>49</v>
      </c>
      <c r="C175" s="124" t="s">
        <v>28</v>
      </c>
      <c r="D175" s="125" t="s">
        <v>50</v>
      </c>
      <c r="E175" s="125" t="s">
        <v>51</v>
      </c>
      <c r="F175" s="126" t="s">
        <v>52</v>
      </c>
    </row>
    <row r="176" spans="1:7" ht="15" customHeight="1" x14ac:dyDescent="0.25">
      <c r="A176" s="63" t="s">
        <v>53</v>
      </c>
      <c r="B176" s="97" t="s">
        <v>54</v>
      </c>
      <c r="C176" s="97">
        <v>1</v>
      </c>
      <c r="D176" s="47">
        <v>2388.9</v>
      </c>
      <c r="E176" s="47">
        <f>C176*D176</f>
        <v>2388.9</v>
      </c>
      <c r="G176" s="8"/>
    </row>
    <row r="177" spans="1:7" ht="15" customHeight="1" x14ac:dyDescent="0.25">
      <c r="A177" s="63" t="s">
        <v>55</v>
      </c>
      <c r="B177" s="97" t="s">
        <v>56</v>
      </c>
      <c r="C177" s="97">
        <v>7.33</v>
      </c>
      <c r="D177" s="47">
        <f>D176/220*2</f>
        <v>21.717272727272729</v>
      </c>
      <c r="E177" s="47">
        <f>C177*D177</f>
        <v>159.18760909090909</v>
      </c>
      <c r="G177" s="8"/>
    </row>
    <row r="178" spans="1:7" ht="15" customHeight="1" x14ac:dyDescent="0.25">
      <c r="A178" s="63" t="s">
        <v>57</v>
      </c>
      <c r="B178" s="97" t="s">
        <v>56</v>
      </c>
      <c r="C178" s="97">
        <v>8</v>
      </c>
      <c r="D178" s="47">
        <f>D176/220*1.5</f>
        <v>16.287954545454546</v>
      </c>
      <c r="E178" s="47">
        <f>C178*D178</f>
        <v>130.30363636363637</v>
      </c>
      <c r="G178" s="8"/>
    </row>
    <row r="179" spans="1:7" ht="15" customHeight="1" x14ac:dyDescent="0.25">
      <c r="A179" s="63" t="s">
        <v>58</v>
      </c>
      <c r="B179" s="97" t="s">
        <v>59</v>
      </c>
      <c r="C179" s="97"/>
      <c r="D179" s="47">
        <f>63/302*(SUM(E177:E178))</f>
        <v>60.39055782661049</v>
      </c>
      <c r="E179" s="47">
        <f>D179</f>
        <v>60.39055782661049</v>
      </c>
      <c r="G179" s="8"/>
    </row>
    <row r="180" spans="1:7" ht="15" customHeight="1" x14ac:dyDescent="0.25">
      <c r="A180" s="63" t="s">
        <v>60</v>
      </c>
      <c r="B180" s="97" t="s">
        <v>5</v>
      </c>
      <c r="C180" s="97">
        <v>0</v>
      </c>
      <c r="D180" s="47">
        <f>SUM(E176:E179)</f>
        <v>2738.781803281156</v>
      </c>
      <c r="E180" s="47">
        <f>C180*D180/100</f>
        <v>0</v>
      </c>
      <c r="G180" s="8"/>
    </row>
    <row r="181" spans="1:7" ht="15" customHeight="1" x14ac:dyDescent="0.25">
      <c r="A181" s="107" t="s">
        <v>61</v>
      </c>
      <c r="B181" s="63"/>
      <c r="C181" s="97"/>
      <c r="D181" s="47"/>
      <c r="E181" s="128">
        <f>SUM(E176:E180)</f>
        <v>2738.781803281156</v>
      </c>
      <c r="G181" s="8"/>
    </row>
    <row r="182" spans="1:7" ht="15" customHeight="1" x14ac:dyDescent="0.25">
      <c r="A182" s="63" t="s">
        <v>62</v>
      </c>
      <c r="B182" s="97" t="s">
        <v>5</v>
      </c>
      <c r="C182" s="97">
        <v>70.81</v>
      </c>
      <c r="D182" s="47">
        <f>E181</f>
        <v>2738.781803281156</v>
      </c>
      <c r="E182" s="47">
        <f>D182*C182/100</f>
        <v>1939.3313949033866</v>
      </c>
      <c r="G182" s="8"/>
    </row>
    <row r="183" spans="1:7" ht="15" customHeight="1" x14ac:dyDescent="0.25">
      <c r="A183" s="63" t="s">
        <v>88</v>
      </c>
      <c r="B183" s="63"/>
      <c r="C183" s="97"/>
      <c r="D183" s="47"/>
      <c r="E183" s="128">
        <f>E181+E182</f>
        <v>4678.1131981845429</v>
      </c>
      <c r="G183" s="8"/>
    </row>
    <row r="184" spans="1:7" ht="15" customHeight="1" x14ac:dyDescent="0.25">
      <c r="A184" s="107" t="s">
        <v>65</v>
      </c>
      <c r="B184" s="97" t="s">
        <v>66</v>
      </c>
      <c r="C184" s="97">
        <v>1</v>
      </c>
      <c r="D184" s="47">
        <f>E183</f>
        <v>4678.1131981845429</v>
      </c>
      <c r="E184" s="47">
        <f>C184*D184</f>
        <v>4678.1131981845429</v>
      </c>
      <c r="G184" s="8"/>
    </row>
    <row r="185" spans="1:7" s="8" customFormat="1" ht="15" customHeight="1" x14ac:dyDescent="0.25">
      <c r="D185" s="47" t="s">
        <v>67</v>
      </c>
      <c r="E185" s="105">
        <f>$B$67</f>
        <v>1</v>
      </c>
      <c r="F185" s="129">
        <f>E184*E185</f>
        <v>4678.1131981845429</v>
      </c>
    </row>
    <row r="186" spans="1:7" ht="11.25" customHeight="1" x14ac:dyDescent="0.25">
      <c r="C186" s="90"/>
      <c r="F186" s="27"/>
      <c r="G186" s="8"/>
    </row>
    <row r="187" spans="1:7" ht="16.149999999999999" customHeight="1" x14ac:dyDescent="0.25">
      <c r="A187" s="70" t="s">
        <v>9</v>
      </c>
      <c r="C187" s="90"/>
      <c r="F187" s="27"/>
      <c r="G187" s="8"/>
    </row>
    <row r="188" spans="1:7" s="8" customFormat="1" ht="15" customHeight="1" x14ac:dyDescent="0.25">
      <c r="A188" s="130" t="s">
        <v>48</v>
      </c>
      <c r="B188" s="131" t="s">
        <v>49</v>
      </c>
      <c r="C188" s="131" t="s">
        <v>28</v>
      </c>
      <c r="D188" s="132" t="s">
        <v>50</v>
      </c>
      <c r="E188" s="132" t="s">
        <v>51</v>
      </c>
      <c r="F188" s="74" t="s">
        <v>52</v>
      </c>
    </row>
    <row r="189" spans="1:7" ht="15" customHeight="1" x14ac:dyDescent="0.25">
      <c r="A189" s="63" t="s">
        <v>53</v>
      </c>
      <c r="B189" s="97" t="s">
        <v>54</v>
      </c>
      <c r="C189" s="97">
        <v>1</v>
      </c>
      <c r="D189" s="47">
        <v>2388.9</v>
      </c>
      <c r="E189" s="47">
        <f>C189*D189</f>
        <v>2388.9</v>
      </c>
      <c r="G189" s="8"/>
    </row>
    <row r="190" spans="1:7" ht="15" customHeight="1" x14ac:dyDescent="0.25">
      <c r="A190" s="63" t="s">
        <v>89</v>
      </c>
      <c r="B190" s="97" t="s">
        <v>54</v>
      </c>
      <c r="C190" s="97">
        <v>1</v>
      </c>
      <c r="D190" s="47">
        <f>D127</f>
        <v>1212</v>
      </c>
      <c r="E190" s="47"/>
      <c r="G190" s="8"/>
    </row>
    <row r="191" spans="1:7" ht="15" customHeight="1" x14ac:dyDescent="0.25">
      <c r="A191" s="63" t="s">
        <v>69</v>
      </c>
      <c r="B191" s="97" t="s">
        <v>90</v>
      </c>
      <c r="C191" s="97">
        <v>5.33</v>
      </c>
      <c r="D191" s="47"/>
      <c r="E191" s="47"/>
      <c r="G191" s="8"/>
    </row>
    <row r="192" spans="1:7" ht="15" customHeight="1" x14ac:dyDescent="0.25">
      <c r="A192" s="63"/>
      <c r="B192" s="97" t="s">
        <v>91</v>
      </c>
      <c r="C192" s="133">
        <f>C191*8/7</f>
        <v>6.0914285714285716</v>
      </c>
      <c r="D192" s="47">
        <f>D189/220*0.2</f>
        <v>2.171727272727273</v>
      </c>
      <c r="E192" s="47">
        <f>C192*D192</f>
        <v>13.228921558441559</v>
      </c>
      <c r="G192" s="8"/>
    </row>
    <row r="193" spans="1:7" ht="15" customHeight="1" x14ac:dyDescent="0.25">
      <c r="A193" s="63" t="s">
        <v>55</v>
      </c>
      <c r="B193" s="97" t="s">
        <v>56</v>
      </c>
      <c r="C193" s="97">
        <v>0</v>
      </c>
      <c r="D193" s="47">
        <f>D189/220*2</f>
        <v>21.717272727272729</v>
      </c>
      <c r="E193" s="47">
        <f>C193*D193</f>
        <v>0</v>
      </c>
      <c r="G193" s="8"/>
    </row>
    <row r="194" spans="1:7" ht="15" customHeight="1" x14ac:dyDescent="0.25">
      <c r="A194" s="63" t="s">
        <v>72</v>
      </c>
      <c r="B194" s="97" t="s">
        <v>92</v>
      </c>
      <c r="C194" s="97">
        <v>7.33</v>
      </c>
      <c r="D194" s="47"/>
      <c r="E194" s="47"/>
      <c r="G194" s="8"/>
    </row>
    <row r="195" spans="1:7" ht="15" customHeight="1" x14ac:dyDescent="0.25">
      <c r="A195" s="63"/>
      <c r="B195" s="97" t="s">
        <v>71</v>
      </c>
      <c r="C195" s="133">
        <f>C194*8/7</f>
        <v>8.3771428571428572</v>
      </c>
      <c r="D195" s="47">
        <f>D189/220*2*1.2</f>
        <v>26.060727272727274</v>
      </c>
      <c r="E195" s="47">
        <f>C195*D195</f>
        <v>218.31443532467534</v>
      </c>
      <c r="G195" s="8"/>
    </row>
    <row r="196" spans="1:7" ht="15" customHeight="1" x14ac:dyDescent="0.25">
      <c r="A196" s="63" t="s">
        <v>57</v>
      </c>
      <c r="B196" s="97" t="s">
        <v>56</v>
      </c>
      <c r="C196" s="97">
        <v>0</v>
      </c>
      <c r="D196" s="47">
        <f>D189/220*1.5</f>
        <v>16.287954545454546</v>
      </c>
      <c r="E196" s="47">
        <f>C196*D196</f>
        <v>0</v>
      </c>
      <c r="G196" s="8"/>
    </row>
    <row r="197" spans="1:7" ht="15" customHeight="1" x14ac:dyDescent="0.25">
      <c r="A197" s="63" t="s">
        <v>73</v>
      </c>
      <c r="B197" s="97" t="s">
        <v>92</v>
      </c>
      <c r="C197" s="97">
        <v>8</v>
      </c>
      <c r="D197" s="47"/>
      <c r="E197" s="47"/>
      <c r="G197" s="8"/>
    </row>
    <row r="198" spans="1:7" ht="15" customHeight="1" x14ac:dyDescent="0.25">
      <c r="A198" s="63"/>
      <c r="B198" s="97" t="s">
        <v>91</v>
      </c>
      <c r="C198" s="133">
        <f>C197*8/7</f>
        <v>9.1428571428571423</v>
      </c>
      <c r="D198" s="47">
        <f>D189/220*1.5*1.2</f>
        <v>19.545545454545454</v>
      </c>
      <c r="E198" s="47">
        <f>C198*D198</f>
        <v>178.70212987012985</v>
      </c>
      <c r="G198" s="8"/>
    </row>
    <row r="199" spans="1:7" ht="15" customHeight="1" x14ac:dyDescent="0.25">
      <c r="A199" s="63" t="s">
        <v>58</v>
      </c>
      <c r="B199" s="97" t="s">
        <v>59</v>
      </c>
      <c r="C199" s="97"/>
      <c r="D199" s="47">
        <f>63/302*(SUM(E193:E198))</f>
        <v>82.821336447922945</v>
      </c>
      <c r="E199" s="47">
        <f>D199</f>
        <v>82.821336447922945</v>
      </c>
      <c r="G199" s="8"/>
    </row>
    <row r="200" spans="1:7" ht="15" customHeight="1" x14ac:dyDescent="0.25">
      <c r="A200" s="63" t="s">
        <v>93</v>
      </c>
      <c r="B200" s="97"/>
      <c r="C200" s="97">
        <v>2</v>
      </c>
      <c r="D200" s="47"/>
      <c r="E200" s="47"/>
      <c r="G200" s="8"/>
    </row>
    <row r="201" spans="1:7" ht="15" customHeight="1" x14ac:dyDescent="0.25">
      <c r="A201" s="63" t="s">
        <v>60</v>
      </c>
      <c r="B201" s="97" t="s">
        <v>5</v>
      </c>
      <c r="C201" s="97">
        <v>0</v>
      </c>
      <c r="D201" s="47">
        <f>IF(C200=2,SUM(E189:E199),IF(C200=1,SUM(E189:E199)*D190/D189,0))</f>
        <v>2881.9668232011695</v>
      </c>
      <c r="E201" s="47">
        <f>C201*D201/100</f>
        <v>0</v>
      </c>
      <c r="G201" s="8"/>
    </row>
    <row r="202" spans="1:7" ht="15" customHeight="1" x14ac:dyDescent="0.25">
      <c r="A202" s="63" t="s">
        <v>61</v>
      </c>
      <c r="B202" s="63"/>
      <c r="C202" s="97"/>
      <c r="D202" s="47"/>
      <c r="E202" s="128">
        <f>SUM(E189:E201)</f>
        <v>2881.9668232011695</v>
      </c>
      <c r="G202" s="8"/>
    </row>
    <row r="203" spans="1:7" ht="15" customHeight="1" x14ac:dyDescent="0.25">
      <c r="A203" s="63" t="s">
        <v>62</v>
      </c>
      <c r="B203" s="97" t="s">
        <v>5</v>
      </c>
      <c r="C203" s="97">
        <v>70.81</v>
      </c>
      <c r="D203" s="47">
        <f>E202</f>
        <v>2881.9668232011695</v>
      </c>
      <c r="E203" s="47">
        <f>D203*C203/100</f>
        <v>2040.7207075087481</v>
      </c>
      <c r="G203" s="8"/>
    </row>
    <row r="204" spans="1:7" ht="15" customHeight="1" x14ac:dyDescent="0.25">
      <c r="A204" s="63" t="s">
        <v>94</v>
      </c>
      <c r="B204" s="63"/>
      <c r="C204" s="63"/>
      <c r="D204" s="47"/>
      <c r="E204" s="128">
        <f>E202+E203</f>
        <v>4922.6875307099181</v>
      </c>
      <c r="G204" s="8"/>
    </row>
    <row r="205" spans="1:7" ht="15" customHeight="1" x14ac:dyDescent="0.25">
      <c r="A205" s="63" t="s">
        <v>65</v>
      </c>
      <c r="B205" s="97" t="s">
        <v>66</v>
      </c>
      <c r="C205" s="97">
        <v>1</v>
      </c>
      <c r="D205" s="47">
        <f>E204</f>
        <v>4922.6875307099181</v>
      </c>
      <c r="E205" s="47">
        <f>C205*D205</f>
        <v>4922.6875307099181</v>
      </c>
      <c r="G205" s="8"/>
    </row>
    <row r="206" spans="1:7" s="8" customFormat="1" ht="15" customHeight="1" x14ac:dyDescent="0.25">
      <c r="D206" s="47" t="s">
        <v>95</v>
      </c>
      <c r="E206" s="105">
        <v>1</v>
      </c>
      <c r="F206" s="129">
        <f>E205*E206</f>
        <v>4922.6875307099181</v>
      </c>
    </row>
    <row r="207" spans="1:7" ht="11.25" customHeight="1" x14ac:dyDescent="0.25">
      <c r="F207" s="27"/>
      <c r="G207" s="8"/>
    </row>
    <row r="208" spans="1:7" ht="16.149999999999999" customHeight="1" x14ac:dyDescent="0.25">
      <c r="A208" s="70" t="s">
        <v>10</v>
      </c>
      <c r="F208" s="27"/>
      <c r="G208" s="8"/>
    </row>
    <row r="209" spans="1:7" s="8" customFormat="1" ht="15" customHeight="1" x14ac:dyDescent="0.25">
      <c r="A209" s="123" t="s">
        <v>48</v>
      </c>
      <c r="B209" s="124" t="s">
        <v>49</v>
      </c>
      <c r="C209" s="124" t="s">
        <v>28</v>
      </c>
      <c r="D209" s="125" t="s">
        <v>50</v>
      </c>
      <c r="E209" s="125" t="s">
        <v>51</v>
      </c>
      <c r="F209" s="126" t="s">
        <v>52</v>
      </c>
    </row>
    <row r="210" spans="1:7" ht="15" customHeight="1" x14ac:dyDescent="0.25">
      <c r="A210" s="63" t="s">
        <v>53</v>
      </c>
      <c r="B210" s="97" t="s">
        <v>54</v>
      </c>
      <c r="C210" s="97">
        <v>1</v>
      </c>
      <c r="D210" s="47">
        <v>1936.87</v>
      </c>
      <c r="E210" s="47">
        <f>C210*D210</f>
        <v>1936.87</v>
      </c>
      <c r="G210" s="8"/>
    </row>
    <row r="211" spans="1:7" ht="15" customHeight="1" x14ac:dyDescent="0.25">
      <c r="A211" s="63" t="s">
        <v>55</v>
      </c>
      <c r="B211" s="97" t="s">
        <v>56</v>
      </c>
      <c r="C211" s="97">
        <v>7.33</v>
      </c>
      <c r="D211" s="47">
        <f>D210/220*2</f>
        <v>17.607909090909089</v>
      </c>
      <c r="E211" s="47">
        <f>C211*D211</f>
        <v>129.06597363636362</v>
      </c>
      <c r="G211" s="8"/>
    </row>
    <row r="212" spans="1:7" ht="15" customHeight="1" x14ac:dyDescent="0.25">
      <c r="A212" s="63" t="s">
        <v>57</v>
      </c>
      <c r="B212" s="97" t="s">
        <v>56</v>
      </c>
      <c r="C212" s="97">
        <v>0</v>
      </c>
      <c r="D212" s="47">
        <f>D210/220*1.5</f>
        <v>13.205931818181817</v>
      </c>
      <c r="E212" s="47">
        <f>C212*D212</f>
        <v>0</v>
      </c>
      <c r="G212" s="8"/>
    </row>
    <row r="213" spans="1:7" ht="15" customHeight="1" x14ac:dyDescent="0.25">
      <c r="A213" s="63" t="s">
        <v>58</v>
      </c>
      <c r="B213" s="97" t="s">
        <v>59</v>
      </c>
      <c r="C213" s="97"/>
      <c r="D213" s="47">
        <f>63/302*(SUM(E211:E212))</f>
        <v>26.924358738711618</v>
      </c>
      <c r="E213" s="47">
        <f>D213</f>
        <v>26.924358738711618</v>
      </c>
      <c r="G213" s="8"/>
    </row>
    <row r="214" spans="1:7" ht="15" customHeight="1" x14ac:dyDescent="0.25">
      <c r="A214" s="63" t="s">
        <v>60</v>
      </c>
      <c r="B214" s="97" t="s">
        <v>5</v>
      </c>
      <c r="C214" s="97">
        <v>40</v>
      </c>
      <c r="D214" s="47">
        <f>D210</f>
        <v>1936.87</v>
      </c>
      <c r="E214" s="47">
        <f>C214*D214/100</f>
        <v>774.74799999999993</v>
      </c>
      <c r="G214" s="8"/>
    </row>
    <row r="215" spans="1:7" ht="15" customHeight="1" x14ac:dyDescent="0.25">
      <c r="A215" s="107" t="s">
        <v>61</v>
      </c>
      <c r="B215" s="63"/>
      <c r="C215" s="97"/>
      <c r="D215" s="47"/>
      <c r="E215" s="128">
        <f>SUM(E210:E214)</f>
        <v>2867.6083323750754</v>
      </c>
      <c r="G215" s="8"/>
    </row>
    <row r="216" spans="1:7" ht="15" customHeight="1" x14ac:dyDescent="0.25">
      <c r="A216" s="63" t="s">
        <v>62</v>
      </c>
      <c r="B216" s="97" t="s">
        <v>5</v>
      </c>
      <c r="C216" s="97">
        <v>70.81</v>
      </c>
      <c r="D216" s="47">
        <f>E215</f>
        <v>2867.6083323750754</v>
      </c>
      <c r="E216" s="47">
        <f>D216*C216/100</f>
        <v>2030.5534601547909</v>
      </c>
      <c r="G216" s="8"/>
    </row>
    <row r="217" spans="1:7" ht="15" customHeight="1" x14ac:dyDescent="0.25">
      <c r="A217" s="63" t="s">
        <v>96</v>
      </c>
      <c r="B217" s="63"/>
      <c r="C217" s="97"/>
      <c r="D217" s="47"/>
      <c r="E217" s="128">
        <f>E215+E216</f>
        <v>4898.161792529866</v>
      </c>
      <c r="G217" s="8"/>
    </row>
    <row r="218" spans="1:7" ht="15" customHeight="1" x14ac:dyDescent="0.25">
      <c r="A218" s="107" t="s">
        <v>65</v>
      </c>
      <c r="B218" s="97" t="s">
        <v>66</v>
      </c>
      <c r="C218" s="97">
        <v>1</v>
      </c>
      <c r="D218" s="47">
        <f>E217</f>
        <v>4898.161792529866</v>
      </c>
      <c r="E218" s="47">
        <f>C218*D218</f>
        <v>4898.161792529866</v>
      </c>
      <c r="G218" s="8"/>
    </row>
    <row r="219" spans="1:7" s="8" customFormat="1" ht="15" customHeight="1" x14ac:dyDescent="0.25">
      <c r="C219" s="90"/>
      <c r="D219" s="47" t="s">
        <v>67</v>
      </c>
      <c r="E219" s="105">
        <f>$B$67</f>
        <v>1</v>
      </c>
      <c r="F219" s="129">
        <f>E218*E219</f>
        <v>4898.161792529866</v>
      </c>
    </row>
    <row r="220" spans="1:7" ht="11.25" customHeight="1" x14ac:dyDescent="0.25">
      <c r="C220" s="90"/>
      <c r="F220" s="27"/>
      <c r="G220" s="8"/>
    </row>
    <row r="221" spans="1:7" ht="16.149999999999999" customHeight="1" x14ac:dyDescent="0.25">
      <c r="A221" s="70" t="s">
        <v>11</v>
      </c>
      <c r="C221" s="90"/>
      <c r="F221" s="27"/>
      <c r="G221" s="8"/>
    </row>
    <row r="222" spans="1:7" s="8" customFormat="1" ht="15" customHeight="1" x14ac:dyDescent="0.25">
      <c r="A222" s="130" t="s">
        <v>48</v>
      </c>
      <c r="B222" s="131" t="s">
        <v>49</v>
      </c>
      <c r="C222" s="131" t="s">
        <v>28</v>
      </c>
      <c r="D222" s="132" t="s">
        <v>50</v>
      </c>
      <c r="E222" s="132" t="s">
        <v>51</v>
      </c>
      <c r="F222" s="74" t="s">
        <v>52</v>
      </c>
    </row>
    <row r="223" spans="1:7" ht="15" customHeight="1" x14ac:dyDescent="0.25">
      <c r="A223" s="63" t="s">
        <v>53</v>
      </c>
      <c r="B223" s="97" t="s">
        <v>54</v>
      </c>
      <c r="C223" s="97">
        <v>1</v>
      </c>
      <c r="D223" s="47">
        <v>1936.87</v>
      </c>
      <c r="E223" s="47">
        <f>C223*D223</f>
        <v>1936.87</v>
      </c>
      <c r="G223" s="8"/>
    </row>
    <row r="224" spans="1:7" ht="15" customHeight="1" x14ac:dyDescent="0.25">
      <c r="A224" s="63" t="s">
        <v>89</v>
      </c>
      <c r="B224" s="97" t="s">
        <v>59</v>
      </c>
      <c r="C224" s="97">
        <v>1</v>
      </c>
      <c r="D224" s="47">
        <f>D127</f>
        <v>1212</v>
      </c>
      <c r="E224" s="47"/>
      <c r="G224" s="8"/>
    </row>
    <row r="225" spans="1:7" ht="15" customHeight="1" x14ac:dyDescent="0.25">
      <c r="A225" s="63" t="s">
        <v>69</v>
      </c>
      <c r="B225" s="97" t="s">
        <v>90</v>
      </c>
      <c r="C225" s="97">
        <v>5.33</v>
      </c>
      <c r="D225" s="47"/>
      <c r="E225" s="47"/>
      <c r="G225" s="8"/>
    </row>
    <row r="226" spans="1:7" ht="15" customHeight="1" x14ac:dyDescent="0.25">
      <c r="A226" s="63"/>
      <c r="B226" s="97" t="s">
        <v>91</v>
      </c>
      <c r="C226" s="133">
        <f>C225*8/7</f>
        <v>6.0914285714285716</v>
      </c>
      <c r="D226" s="47">
        <f>D223/220*0.2</f>
        <v>1.7607909090909091</v>
      </c>
      <c r="E226" s="47">
        <f>C226*D226</f>
        <v>10.725732051948052</v>
      </c>
      <c r="G226" s="8"/>
    </row>
    <row r="227" spans="1:7" ht="15" customHeight="1" x14ac:dyDescent="0.25">
      <c r="A227" s="63" t="s">
        <v>55</v>
      </c>
      <c r="B227" s="97" t="s">
        <v>56</v>
      </c>
      <c r="C227" s="97">
        <v>0</v>
      </c>
      <c r="D227" s="47">
        <f>D223/220*2</f>
        <v>17.607909090909089</v>
      </c>
      <c r="E227" s="47">
        <f>C227*D227</f>
        <v>0</v>
      </c>
      <c r="G227" s="8"/>
    </row>
    <row r="228" spans="1:7" ht="15" customHeight="1" x14ac:dyDescent="0.25">
      <c r="A228" s="63" t="s">
        <v>72</v>
      </c>
      <c r="B228" s="97" t="s">
        <v>92</v>
      </c>
      <c r="C228" s="97">
        <v>7.33</v>
      </c>
      <c r="D228" s="47"/>
      <c r="E228" s="47"/>
      <c r="G228" s="8"/>
    </row>
    <row r="229" spans="1:7" ht="15" customHeight="1" x14ac:dyDescent="0.25">
      <c r="A229" s="63"/>
      <c r="B229" s="97" t="s">
        <v>91</v>
      </c>
      <c r="C229" s="133">
        <f>C228*8/7</f>
        <v>8.3771428571428572</v>
      </c>
      <c r="D229" s="47">
        <f>D223/220*2*1.2</f>
        <v>21.129490909090908</v>
      </c>
      <c r="E229" s="47">
        <f>C229*D229</f>
        <v>177.00476384415583</v>
      </c>
      <c r="G229" s="8"/>
    </row>
    <row r="230" spans="1:7" ht="15" customHeight="1" x14ac:dyDescent="0.25">
      <c r="A230" s="63" t="s">
        <v>57</v>
      </c>
      <c r="B230" s="97" t="s">
        <v>56</v>
      </c>
      <c r="C230" s="97">
        <v>0</v>
      </c>
      <c r="D230" s="47">
        <f>D223/220*1.5</f>
        <v>13.205931818181817</v>
      </c>
      <c r="E230" s="47">
        <f>C230*D230</f>
        <v>0</v>
      </c>
      <c r="G230" s="8"/>
    </row>
    <row r="231" spans="1:7" ht="15" customHeight="1" x14ac:dyDescent="0.25">
      <c r="A231" s="63" t="s">
        <v>73</v>
      </c>
      <c r="B231" s="97" t="s">
        <v>92</v>
      </c>
      <c r="C231" s="97">
        <v>0</v>
      </c>
      <c r="D231" s="47"/>
      <c r="E231" s="47"/>
      <c r="G231" s="8"/>
    </row>
    <row r="232" spans="1:7" ht="15" customHeight="1" x14ac:dyDescent="0.25">
      <c r="A232" s="63"/>
      <c r="B232" s="97" t="s">
        <v>91</v>
      </c>
      <c r="C232" s="133">
        <f>C231*8/7</f>
        <v>0</v>
      </c>
      <c r="D232" s="47">
        <f>D223/220*1.5*1.2</f>
        <v>15.84711818181818</v>
      </c>
      <c r="E232" s="47">
        <f>C232*D232</f>
        <v>0</v>
      </c>
      <c r="G232" s="8"/>
    </row>
    <row r="233" spans="1:7" ht="15" customHeight="1" x14ac:dyDescent="0.25">
      <c r="A233" s="63" t="s">
        <v>58</v>
      </c>
      <c r="B233" s="97" t="s">
        <v>59</v>
      </c>
      <c r="C233" s="97"/>
      <c r="D233" s="47">
        <f>63/302*(SUM(E227:E232))</f>
        <v>36.924834841661649</v>
      </c>
      <c r="E233" s="47">
        <f>D233</f>
        <v>36.924834841661649</v>
      </c>
      <c r="G233" s="8"/>
    </row>
    <row r="234" spans="1:7" ht="15" customHeight="1" x14ac:dyDescent="0.25">
      <c r="A234" s="63" t="s">
        <v>93</v>
      </c>
      <c r="B234" s="97"/>
      <c r="C234" s="97">
        <v>2</v>
      </c>
      <c r="D234" s="47"/>
      <c r="E234" s="47"/>
      <c r="G234" s="8"/>
    </row>
    <row r="235" spans="1:7" ht="15" customHeight="1" x14ac:dyDescent="0.25">
      <c r="A235" s="63" t="s">
        <v>60</v>
      </c>
      <c r="B235" s="97" t="s">
        <v>5</v>
      </c>
      <c r="C235" s="97">
        <v>40</v>
      </c>
      <c r="D235" s="47">
        <f>D223</f>
        <v>1936.87</v>
      </c>
      <c r="E235" s="47">
        <f>C235*D235/100</f>
        <v>774.74799999999993</v>
      </c>
      <c r="G235" s="8"/>
    </row>
    <row r="236" spans="1:7" ht="15" customHeight="1" x14ac:dyDescent="0.25">
      <c r="A236" s="63" t="s">
        <v>61</v>
      </c>
      <c r="B236" s="63"/>
      <c r="C236" s="97"/>
      <c r="D236" s="47"/>
      <c r="E236" s="128">
        <f>SUM(E223:E235)</f>
        <v>2936.2733307377657</v>
      </c>
      <c r="G236" s="8"/>
    </row>
    <row r="237" spans="1:7" ht="15" customHeight="1" x14ac:dyDescent="0.25">
      <c r="A237" s="63" t="s">
        <v>62</v>
      </c>
      <c r="B237" s="97" t="s">
        <v>5</v>
      </c>
      <c r="C237" s="97">
        <v>70.81</v>
      </c>
      <c r="D237" s="47">
        <f>E236</f>
        <v>2936.2733307377657</v>
      </c>
      <c r="E237" s="47">
        <f>D237*C237/100</f>
        <v>2079.1751454954119</v>
      </c>
      <c r="G237" s="8"/>
    </row>
    <row r="238" spans="1:7" ht="15" customHeight="1" x14ac:dyDescent="0.25">
      <c r="A238" s="63" t="s">
        <v>94</v>
      </c>
      <c r="B238" s="63"/>
      <c r="C238" s="63"/>
      <c r="D238" s="47"/>
      <c r="E238" s="128">
        <f>E236+E237</f>
        <v>5015.4484762331776</v>
      </c>
      <c r="G238" s="8"/>
    </row>
    <row r="239" spans="1:7" ht="15" customHeight="1" x14ac:dyDescent="0.25">
      <c r="A239" s="63" t="s">
        <v>65</v>
      </c>
      <c r="B239" s="97" t="s">
        <v>66</v>
      </c>
      <c r="C239" s="97">
        <v>1</v>
      </c>
      <c r="D239" s="47">
        <f>E238</f>
        <v>5015.4484762331776</v>
      </c>
      <c r="E239" s="47">
        <f>C239*D239</f>
        <v>5015.4484762331776</v>
      </c>
      <c r="G239" s="8"/>
    </row>
    <row r="240" spans="1:7" s="8" customFormat="1" ht="15" customHeight="1" x14ac:dyDescent="0.25">
      <c r="D240" s="47" t="s">
        <v>95</v>
      </c>
      <c r="E240" s="105">
        <v>1</v>
      </c>
      <c r="F240" s="129">
        <f>E239*E240</f>
        <v>5015.4484762331776</v>
      </c>
    </row>
    <row r="241" spans="1:7" ht="11.25" customHeight="1" x14ac:dyDescent="0.25">
      <c r="C241" s="90"/>
      <c r="F241" s="27"/>
      <c r="G241" s="8"/>
    </row>
    <row r="242" spans="1:7" ht="16.149999999999999" customHeight="1" x14ac:dyDescent="0.25">
      <c r="A242" s="70" t="s">
        <v>97</v>
      </c>
      <c r="C242" s="90"/>
      <c r="G242" s="8"/>
    </row>
    <row r="243" spans="1:7" s="8" customFormat="1" ht="15" customHeight="1" x14ac:dyDescent="0.25">
      <c r="A243" s="123" t="s">
        <v>48</v>
      </c>
      <c r="B243" s="124" t="s">
        <v>49</v>
      </c>
      <c r="C243" s="124" t="s">
        <v>28</v>
      </c>
      <c r="D243" s="125" t="s">
        <v>50</v>
      </c>
      <c r="E243" s="125" t="s">
        <v>51</v>
      </c>
      <c r="F243" s="126" t="s">
        <v>52</v>
      </c>
    </row>
    <row r="244" spans="1:7" ht="15" customHeight="1" x14ac:dyDescent="0.25">
      <c r="A244" s="63" t="s">
        <v>53</v>
      </c>
      <c r="B244" s="97" t="s">
        <v>54</v>
      </c>
      <c r="C244" s="97">
        <v>1</v>
      </c>
      <c r="D244" s="127">
        <v>1379.71</v>
      </c>
      <c r="E244" s="47">
        <f>C244*D244</f>
        <v>1379.71</v>
      </c>
      <c r="G244" s="8"/>
    </row>
    <row r="245" spans="1:7" ht="15" customHeight="1" x14ac:dyDescent="0.25">
      <c r="A245" s="63" t="s">
        <v>55</v>
      </c>
      <c r="B245" s="97" t="s">
        <v>56</v>
      </c>
      <c r="C245" s="97">
        <v>7.33</v>
      </c>
      <c r="D245" s="47">
        <f>D244/220*2</f>
        <v>12.542818181818182</v>
      </c>
      <c r="E245" s="47">
        <f>C245*D245</f>
        <v>91.938857272727276</v>
      </c>
      <c r="G245" s="8"/>
    </row>
    <row r="246" spans="1:7" ht="15" customHeight="1" x14ac:dyDescent="0.25">
      <c r="A246" s="63" t="s">
        <v>57</v>
      </c>
      <c r="B246" s="97" t="s">
        <v>56</v>
      </c>
      <c r="C246" s="97">
        <v>0</v>
      </c>
      <c r="D246" s="47">
        <f>D244/220*1.5</f>
        <v>9.4071136363636363</v>
      </c>
      <c r="E246" s="47">
        <f>C246*D246</f>
        <v>0</v>
      </c>
      <c r="G246" s="8"/>
    </row>
    <row r="247" spans="1:7" ht="15" customHeight="1" x14ac:dyDescent="0.25">
      <c r="A247" s="63" t="s">
        <v>58</v>
      </c>
      <c r="B247" s="97" t="s">
        <v>59</v>
      </c>
      <c r="C247" s="97"/>
      <c r="D247" s="47">
        <f>63/302*(SUM(E245:E246))</f>
        <v>19.179298040337148</v>
      </c>
      <c r="E247" s="47">
        <f>D247</f>
        <v>19.179298040337148</v>
      </c>
      <c r="G247" s="8"/>
    </row>
    <row r="248" spans="1:7" ht="15" customHeight="1" x14ac:dyDescent="0.25">
      <c r="A248" s="63" t="s">
        <v>60</v>
      </c>
      <c r="B248" s="97" t="s">
        <v>5</v>
      </c>
      <c r="C248" s="97">
        <v>40</v>
      </c>
      <c r="D248" s="47">
        <f>D244</f>
        <v>1379.71</v>
      </c>
      <c r="E248" s="47">
        <f>C248*D248/100</f>
        <v>551.88400000000001</v>
      </c>
      <c r="G248" s="8"/>
    </row>
    <row r="249" spans="1:7" ht="15" customHeight="1" x14ac:dyDescent="0.25">
      <c r="A249" s="63" t="s">
        <v>61</v>
      </c>
      <c r="B249" s="63"/>
      <c r="C249" s="97"/>
      <c r="D249" s="47"/>
      <c r="E249" s="128">
        <f>SUM(E244:E248)</f>
        <v>2042.7121553130646</v>
      </c>
      <c r="G249" s="8"/>
    </row>
    <row r="250" spans="1:7" ht="15" customHeight="1" x14ac:dyDescent="0.25">
      <c r="A250" s="63" t="s">
        <v>62</v>
      </c>
      <c r="B250" s="97" t="s">
        <v>5</v>
      </c>
      <c r="C250" s="97">
        <v>70.81</v>
      </c>
      <c r="D250" s="47">
        <f>E249</f>
        <v>2042.7121553130646</v>
      </c>
      <c r="E250" s="47">
        <f>D250*C250/100</f>
        <v>1446.4444771771812</v>
      </c>
      <c r="G250" s="8"/>
    </row>
    <row r="251" spans="1:7" ht="15" customHeight="1" x14ac:dyDescent="0.25">
      <c r="A251" s="80" t="s">
        <v>63</v>
      </c>
      <c r="B251" s="81" t="s">
        <v>49</v>
      </c>
      <c r="C251" s="88">
        <v>1</v>
      </c>
      <c r="D251" s="82">
        <v>17.32</v>
      </c>
      <c r="E251" s="82">
        <f>D251</f>
        <v>17.32</v>
      </c>
      <c r="G251" s="8"/>
    </row>
    <row r="252" spans="1:7" ht="15" customHeight="1" x14ac:dyDescent="0.25">
      <c r="A252" s="63" t="s">
        <v>98</v>
      </c>
      <c r="B252" s="97"/>
      <c r="C252" s="97"/>
      <c r="D252" s="47"/>
      <c r="E252" s="128">
        <f>E249+E250+E251</f>
        <v>3506.4766324902462</v>
      </c>
      <c r="G252" s="8"/>
    </row>
    <row r="253" spans="1:7" ht="15" customHeight="1" x14ac:dyDescent="0.25">
      <c r="A253" s="63" t="s">
        <v>65</v>
      </c>
      <c r="B253" s="97" t="s">
        <v>66</v>
      </c>
      <c r="C253" s="97">
        <v>2</v>
      </c>
      <c r="D253" s="47">
        <f>E252</f>
        <v>3506.4766324902462</v>
      </c>
      <c r="E253" s="47">
        <f>C253*D253</f>
        <v>7012.9532649804923</v>
      </c>
      <c r="G253" s="8"/>
    </row>
    <row r="254" spans="1:7" s="8" customFormat="1" ht="15" customHeight="1" x14ac:dyDescent="0.25">
      <c r="B254" s="90"/>
      <c r="C254" s="90"/>
      <c r="D254" s="47" t="s">
        <v>67</v>
      </c>
      <c r="E254" s="47">
        <f>$B$67</f>
        <v>1</v>
      </c>
      <c r="F254" s="134">
        <f>E253*E254</f>
        <v>7012.9532649804923</v>
      </c>
    </row>
    <row r="255" spans="1:7" ht="11.25" customHeight="1" x14ac:dyDescent="0.25">
      <c r="B255" s="90"/>
      <c r="C255" s="90"/>
      <c r="F255" s="27"/>
      <c r="G255" s="8"/>
    </row>
    <row r="256" spans="1:7" ht="11.25" customHeight="1" x14ac:dyDescent="0.25">
      <c r="F256" s="27"/>
      <c r="G256" s="8"/>
    </row>
    <row r="257" spans="1:7" ht="16.149999999999999" customHeight="1" x14ac:dyDescent="0.25">
      <c r="A257" s="70" t="s">
        <v>99</v>
      </c>
      <c r="C257" s="90"/>
      <c r="G257" s="8"/>
    </row>
    <row r="258" spans="1:7" s="8" customFormat="1" ht="15" customHeight="1" x14ac:dyDescent="0.25">
      <c r="A258" s="123" t="s">
        <v>48</v>
      </c>
      <c r="B258" s="124" t="s">
        <v>49</v>
      </c>
      <c r="C258" s="124" t="s">
        <v>28</v>
      </c>
      <c r="D258" s="125" t="s">
        <v>50</v>
      </c>
      <c r="E258" s="125" t="s">
        <v>51</v>
      </c>
      <c r="F258" s="126" t="s">
        <v>52</v>
      </c>
    </row>
    <row r="259" spans="1:7" ht="15" customHeight="1" x14ac:dyDescent="0.25">
      <c r="A259" s="63" t="s">
        <v>53</v>
      </c>
      <c r="B259" s="97" t="s">
        <v>54</v>
      </c>
      <c r="C259" s="97">
        <v>1</v>
      </c>
      <c r="D259" s="47">
        <v>1795.49</v>
      </c>
      <c r="E259" s="47">
        <f>C259*D259</f>
        <v>1795.49</v>
      </c>
      <c r="G259" s="8"/>
    </row>
    <row r="260" spans="1:7" ht="15" customHeight="1" x14ac:dyDescent="0.25">
      <c r="A260" s="63" t="s">
        <v>55</v>
      </c>
      <c r="B260" s="97" t="s">
        <v>56</v>
      </c>
      <c r="C260" s="97">
        <v>7.33</v>
      </c>
      <c r="D260" s="47">
        <f>D259/220*2</f>
        <v>16.322636363636363</v>
      </c>
      <c r="E260" s="47">
        <f>C260*D260</f>
        <v>119.64492454545454</v>
      </c>
      <c r="G260" s="8"/>
    </row>
    <row r="261" spans="1:7" ht="15" customHeight="1" x14ac:dyDescent="0.25">
      <c r="A261" s="63" t="s">
        <v>57</v>
      </c>
      <c r="B261" s="97" t="s">
        <v>56</v>
      </c>
      <c r="C261" s="97">
        <v>0</v>
      </c>
      <c r="D261" s="47">
        <f>D259/220*1.5</f>
        <v>12.241977272727272</v>
      </c>
      <c r="E261" s="47">
        <f>C261*D261</f>
        <v>0</v>
      </c>
      <c r="G261" s="8"/>
    </row>
    <row r="262" spans="1:7" ht="15" customHeight="1" x14ac:dyDescent="0.25">
      <c r="A262" s="63" t="s">
        <v>58</v>
      </c>
      <c r="B262" s="97" t="s">
        <v>59</v>
      </c>
      <c r="C262" s="97"/>
      <c r="D262" s="47">
        <f>63/302*(SUM(E260:E261))</f>
        <v>24.95904055087297</v>
      </c>
      <c r="E262" s="47">
        <f>D262</f>
        <v>24.95904055087297</v>
      </c>
      <c r="G262" s="8"/>
    </row>
    <row r="263" spans="1:7" ht="15" customHeight="1" x14ac:dyDescent="0.25">
      <c r="A263" s="63" t="s">
        <v>60</v>
      </c>
      <c r="B263" s="97" t="s">
        <v>5</v>
      </c>
      <c r="C263" s="97">
        <v>40</v>
      </c>
      <c r="D263" s="47">
        <f>D259</f>
        <v>1795.49</v>
      </c>
      <c r="E263" s="47">
        <f>C263*D263/100</f>
        <v>718.19600000000003</v>
      </c>
      <c r="G263" s="8"/>
    </row>
    <row r="264" spans="1:7" ht="15" customHeight="1" x14ac:dyDescent="0.25">
      <c r="A264" s="63" t="s">
        <v>61</v>
      </c>
      <c r="B264" s="63"/>
      <c r="C264" s="97"/>
      <c r="D264" s="47"/>
      <c r="E264" s="128">
        <f>SUM(E259:E263)</f>
        <v>2658.2899650963277</v>
      </c>
      <c r="G264" s="8"/>
    </row>
    <row r="265" spans="1:7" ht="15" customHeight="1" x14ac:dyDescent="0.25">
      <c r="A265" s="63" t="s">
        <v>62</v>
      </c>
      <c r="B265" s="97" t="s">
        <v>5</v>
      </c>
      <c r="C265" s="97">
        <v>70.81</v>
      </c>
      <c r="D265" s="47">
        <f>E264</f>
        <v>2658.2899650963277</v>
      </c>
      <c r="E265" s="47">
        <f>D265*C265/100</f>
        <v>1882.3351242847098</v>
      </c>
      <c r="G265" s="8"/>
    </row>
    <row r="266" spans="1:7" ht="15" customHeight="1" x14ac:dyDescent="0.25">
      <c r="A266" s="63" t="s">
        <v>98</v>
      </c>
      <c r="B266" s="97"/>
      <c r="C266" s="97"/>
      <c r="D266" s="47"/>
      <c r="E266" s="128">
        <f>E264+E265</f>
        <v>4540.6250893810375</v>
      </c>
      <c r="G266" s="8"/>
    </row>
    <row r="267" spans="1:7" ht="15" customHeight="1" x14ac:dyDescent="0.25">
      <c r="A267" s="63" t="s">
        <v>65</v>
      </c>
      <c r="B267" s="97" t="s">
        <v>66</v>
      </c>
      <c r="C267" s="97">
        <v>1</v>
      </c>
      <c r="D267" s="47">
        <f>E266</f>
        <v>4540.6250893810375</v>
      </c>
      <c r="E267" s="47">
        <f>C267*D267</f>
        <v>4540.6250893810375</v>
      </c>
      <c r="G267" s="8"/>
    </row>
    <row r="268" spans="1:7" s="8" customFormat="1" ht="15" customHeight="1" x14ac:dyDescent="0.25">
      <c r="B268" s="90"/>
      <c r="C268" s="90"/>
      <c r="D268" s="47" t="s">
        <v>67</v>
      </c>
      <c r="E268" s="47">
        <f>$B$67</f>
        <v>1</v>
      </c>
      <c r="F268" s="135">
        <f>E267*E268</f>
        <v>4540.6250893810375</v>
      </c>
    </row>
    <row r="269" spans="1:7" ht="11.25" customHeight="1" x14ac:dyDescent="0.25">
      <c r="F269" s="27"/>
      <c r="G269" s="8"/>
    </row>
    <row r="270" spans="1:7" ht="16.149999999999999" customHeight="1" x14ac:dyDescent="0.25">
      <c r="A270" s="70" t="s">
        <v>100</v>
      </c>
      <c r="C270" s="90"/>
      <c r="F270" s="27"/>
      <c r="G270" s="8"/>
    </row>
    <row r="271" spans="1:7" s="8" customFormat="1" ht="15" customHeight="1" x14ac:dyDescent="0.25">
      <c r="A271" s="130" t="s">
        <v>48</v>
      </c>
      <c r="B271" s="131" t="s">
        <v>49</v>
      </c>
      <c r="C271" s="131" t="s">
        <v>28</v>
      </c>
      <c r="D271" s="132" t="s">
        <v>50</v>
      </c>
      <c r="E271" s="132" t="s">
        <v>51</v>
      </c>
      <c r="F271" s="74" t="s">
        <v>52</v>
      </c>
    </row>
    <row r="272" spans="1:7" ht="15" customHeight="1" x14ac:dyDescent="0.25">
      <c r="A272" s="63" t="s">
        <v>53</v>
      </c>
      <c r="B272" s="97" t="s">
        <v>54</v>
      </c>
      <c r="C272" s="97">
        <v>1</v>
      </c>
      <c r="D272" s="47">
        <v>1795.49</v>
      </c>
      <c r="E272" s="47">
        <f>C272*D272</f>
        <v>1795.49</v>
      </c>
      <c r="G272" s="8"/>
    </row>
    <row r="273" spans="1:7" ht="15" customHeight="1" x14ac:dyDescent="0.25">
      <c r="A273" s="63" t="s">
        <v>89</v>
      </c>
      <c r="B273" s="97" t="s">
        <v>59</v>
      </c>
      <c r="C273" s="97">
        <v>1</v>
      </c>
      <c r="D273" s="47">
        <f>D127</f>
        <v>1212</v>
      </c>
      <c r="E273" s="47"/>
      <c r="G273" s="8"/>
    </row>
    <row r="274" spans="1:7" ht="15" customHeight="1" x14ac:dyDescent="0.25">
      <c r="A274" s="63" t="s">
        <v>69</v>
      </c>
      <c r="B274" s="97" t="s">
        <v>90</v>
      </c>
      <c r="C274" s="97">
        <v>5.33</v>
      </c>
      <c r="D274" s="47"/>
      <c r="E274" s="47"/>
      <c r="G274" s="8"/>
    </row>
    <row r="275" spans="1:7" ht="15" customHeight="1" x14ac:dyDescent="0.25">
      <c r="A275" s="63"/>
      <c r="B275" s="97" t="s">
        <v>91</v>
      </c>
      <c r="C275" s="133">
        <f>C274*8/7</f>
        <v>6.0914285714285716</v>
      </c>
      <c r="D275" s="47">
        <f>D272/220*0.2</f>
        <v>1.6322636363636365</v>
      </c>
      <c r="E275" s="47">
        <f>C275*D275</f>
        <v>9.9428173506493511</v>
      </c>
      <c r="G275" s="8"/>
    </row>
    <row r="276" spans="1:7" ht="15" customHeight="1" x14ac:dyDescent="0.25">
      <c r="A276" s="63" t="s">
        <v>55</v>
      </c>
      <c r="B276" s="97" t="s">
        <v>56</v>
      </c>
      <c r="C276" s="97">
        <v>0</v>
      </c>
      <c r="D276" s="47">
        <f>D272/220*2</f>
        <v>16.322636363636363</v>
      </c>
      <c r="E276" s="47">
        <f>C276*D276</f>
        <v>0</v>
      </c>
      <c r="G276" s="8"/>
    </row>
    <row r="277" spans="1:7" ht="15" customHeight="1" x14ac:dyDescent="0.25">
      <c r="A277" s="63" t="s">
        <v>72</v>
      </c>
      <c r="B277" s="97" t="s">
        <v>92</v>
      </c>
      <c r="C277" s="97">
        <v>7.33</v>
      </c>
      <c r="D277" s="47"/>
      <c r="E277" s="47"/>
      <c r="G277" s="8"/>
    </row>
    <row r="278" spans="1:7" ht="15" customHeight="1" x14ac:dyDescent="0.25">
      <c r="A278" s="63"/>
      <c r="B278" s="97" t="s">
        <v>71</v>
      </c>
      <c r="C278" s="133">
        <f>C277*8/7</f>
        <v>8.3771428571428572</v>
      </c>
      <c r="D278" s="47">
        <f>D272/220*2*1.2</f>
        <v>19.587163636363634</v>
      </c>
      <c r="E278" s="47">
        <f>C278*D278</f>
        <v>164.08446794805192</v>
      </c>
      <c r="G278" s="8"/>
    </row>
    <row r="279" spans="1:7" ht="15" customHeight="1" x14ac:dyDescent="0.25">
      <c r="A279" s="63" t="s">
        <v>57</v>
      </c>
      <c r="B279" s="97" t="s">
        <v>56</v>
      </c>
      <c r="C279" s="97">
        <v>0</v>
      </c>
      <c r="D279" s="47">
        <f>D272/220*1.5</f>
        <v>12.241977272727272</v>
      </c>
      <c r="E279" s="47">
        <f>C279*D279</f>
        <v>0</v>
      </c>
      <c r="G279" s="8"/>
    </row>
    <row r="280" spans="1:7" ht="15" customHeight="1" x14ac:dyDescent="0.25">
      <c r="A280" s="63" t="s">
        <v>73</v>
      </c>
      <c r="B280" s="97" t="s">
        <v>92</v>
      </c>
      <c r="C280" s="97">
        <v>0</v>
      </c>
      <c r="D280" s="47"/>
      <c r="E280" s="47"/>
      <c r="G280" s="8"/>
    </row>
    <row r="281" spans="1:7" ht="15" customHeight="1" x14ac:dyDescent="0.25">
      <c r="A281" s="63"/>
      <c r="B281" s="97" t="s">
        <v>71</v>
      </c>
      <c r="C281" s="133">
        <f>C280*8/7</f>
        <v>0</v>
      </c>
      <c r="D281" s="47">
        <f>D272/220*1.5*1.2</f>
        <v>14.690372727272726</v>
      </c>
      <c r="E281" s="47">
        <f>C281*D281</f>
        <v>0</v>
      </c>
      <c r="G281" s="8"/>
    </row>
    <row r="282" spans="1:7" ht="15" customHeight="1" x14ac:dyDescent="0.25">
      <c r="A282" s="63" t="s">
        <v>58</v>
      </c>
      <c r="B282" s="97" t="s">
        <v>59</v>
      </c>
      <c r="C282" s="97"/>
      <c r="D282" s="47">
        <f>63/302*(SUM(E276:E281))</f>
        <v>34.229541326911495</v>
      </c>
      <c r="E282" s="47">
        <f>D282</f>
        <v>34.229541326911495</v>
      </c>
      <c r="G282" s="8"/>
    </row>
    <row r="283" spans="1:7" ht="15" customHeight="1" x14ac:dyDescent="0.25">
      <c r="A283" s="63" t="s">
        <v>93</v>
      </c>
      <c r="B283" s="97"/>
      <c r="C283" s="97">
        <v>2</v>
      </c>
      <c r="D283" s="47"/>
      <c r="E283" s="47"/>
      <c r="G283" s="8"/>
    </row>
    <row r="284" spans="1:7" ht="15" customHeight="1" x14ac:dyDescent="0.25">
      <c r="A284" s="63" t="s">
        <v>60</v>
      </c>
      <c r="B284" s="97" t="s">
        <v>5</v>
      </c>
      <c r="C284" s="97">
        <v>40</v>
      </c>
      <c r="D284" s="47">
        <f>D272</f>
        <v>1795.49</v>
      </c>
      <c r="E284" s="47">
        <f>C284*D284/100</f>
        <v>718.19600000000003</v>
      </c>
      <c r="G284" s="8"/>
    </row>
    <row r="285" spans="1:7" ht="15" customHeight="1" x14ac:dyDescent="0.25">
      <c r="A285" s="107" t="s">
        <v>61</v>
      </c>
      <c r="B285" s="63"/>
      <c r="C285" s="97"/>
      <c r="D285" s="47"/>
      <c r="E285" s="128">
        <f>SUM(E272:E284)</f>
        <v>2721.9428266256127</v>
      </c>
      <c r="G285" s="8"/>
    </row>
    <row r="286" spans="1:7" ht="15.6" customHeight="1" x14ac:dyDescent="0.25">
      <c r="A286" s="63" t="s">
        <v>62</v>
      </c>
      <c r="B286" s="97" t="s">
        <v>5</v>
      </c>
      <c r="C286" s="97">
        <v>70.81</v>
      </c>
      <c r="D286" s="47">
        <f>E285</f>
        <v>2721.9428266256127</v>
      </c>
      <c r="E286" s="47">
        <f>D286*C286/100</f>
        <v>1927.4077155335963</v>
      </c>
      <c r="G286" s="8"/>
    </row>
    <row r="287" spans="1:7" ht="15" customHeight="1" x14ac:dyDescent="0.25">
      <c r="A287" s="63" t="s">
        <v>94</v>
      </c>
      <c r="B287" s="63"/>
      <c r="C287" s="63"/>
      <c r="D287" s="47"/>
      <c r="E287" s="128">
        <f>E285+E286</f>
        <v>4649.350542159209</v>
      </c>
      <c r="G287" s="8"/>
    </row>
    <row r="288" spans="1:7" ht="15" customHeight="1" x14ac:dyDescent="0.25">
      <c r="A288" s="107" t="s">
        <v>65</v>
      </c>
      <c r="B288" s="97" t="s">
        <v>66</v>
      </c>
      <c r="C288" s="97">
        <v>1</v>
      </c>
      <c r="D288" s="47">
        <f>E287</f>
        <v>4649.350542159209</v>
      </c>
      <c r="E288" s="47">
        <f>C288*D288</f>
        <v>4649.350542159209</v>
      </c>
      <c r="G288" s="8"/>
    </row>
    <row r="289" spans="1:7" s="8" customFormat="1" ht="15" customHeight="1" x14ac:dyDescent="0.25">
      <c r="D289" s="47" t="s">
        <v>95</v>
      </c>
      <c r="E289" s="105">
        <v>1</v>
      </c>
      <c r="F289" s="129">
        <f>E288*E289</f>
        <v>4649.350542159209</v>
      </c>
    </row>
    <row r="290" spans="1:7" ht="11.25" customHeight="1" x14ac:dyDescent="0.25">
      <c r="F290" s="27"/>
      <c r="G290" s="8"/>
    </row>
    <row r="291" spans="1:7" ht="16.149999999999999" customHeight="1" x14ac:dyDescent="0.25">
      <c r="A291" s="70" t="s">
        <v>101</v>
      </c>
      <c r="C291" s="90"/>
      <c r="G291" s="8"/>
    </row>
    <row r="292" spans="1:7" s="8" customFormat="1" ht="15" customHeight="1" x14ac:dyDescent="0.25">
      <c r="A292" s="123" t="s">
        <v>48</v>
      </c>
      <c r="B292" s="124" t="s">
        <v>49</v>
      </c>
      <c r="C292" s="124" t="s">
        <v>28</v>
      </c>
      <c r="D292" s="125" t="s">
        <v>50</v>
      </c>
      <c r="E292" s="125" t="s">
        <v>51</v>
      </c>
      <c r="F292" s="126" t="s">
        <v>52</v>
      </c>
    </row>
    <row r="293" spans="1:7" ht="15" customHeight="1" x14ac:dyDescent="0.25">
      <c r="A293" s="63" t="s">
        <v>53</v>
      </c>
      <c r="B293" s="97" t="s">
        <v>54</v>
      </c>
      <c r="C293" s="97">
        <v>1</v>
      </c>
      <c r="D293" s="47">
        <v>2941.12</v>
      </c>
      <c r="E293" s="47">
        <f>C293*D293</f>
        <v>2941.12</v>
      </c>
      <c r="G293" s="8"/>
    </row>
    <row r="294" spans="1:7" ht="15" customHeight="1" x14ac:dyDescent="0.25">
      <c r="A294" s="63" t="s">
        <v>55</v>
      </c>
      <c r="B294" s="97" t="s">
        <v>56</v>
      </c>
      <c r="C294" s="97">
        <v>0</v>
      </c>
      <c r="D294" s="47">
        <f>D293/220*2</f>
        <v>26.737454545454543</v>
      </c>
      <c r="E294" s="47">
        <f>C294*D294</f>
        <v>0</v>
      </c>
      <c r="G294" s="8"/>
    </row>
    <row r="295" spans="1:7" ht="15" customHeight="1" x14ac:dyDescent="0.25">
      <c r="A295" s="63" t="s">
        <v>57</v>
      </c>
      <c r="B295" s="97" t="s">
        <v>56</v>
      </c>
      <c r="C295" s="97">
        <v>0</v>
      </c>
      <c r="D295" s="47">
        <f>D293/220*1.5</f>
        <v>20.053090909090908</v>
      </c>
      <c r="E295" s="47">
        <f>C295*D295</f>
        <v>0</v>
      </c>
      <c r="G295" s="8"/>
    </row>
    <row r="296" spans="1:7" ht="15" customHeight="1" x14ac:dyDescent="0.25">
      <c r="A296" s="63" t="s">
        <v>58</v>
      </c>
      <c r="B296" s="97" t="s">
        <v>59</v>
      </c>
      <c r="C296" s="97"/>
      <c r="D296" s="47">
        <f>63/302*(SUM(E294:E295))</f>
        <v>0</v>
      </c>
      <c r="E296" s="47">
        <f>D296</f>
        <v>0</v>
      </c>
      <c r="G296" s="8"/>
    </row>
    <row r="297" spans="1:7" ht="15" customHeight="1" x14ac:dyDescent="0.25">
      <c r="A297" s="63" t="s">
        <v>60</v>
      </c>
      <c r="B297" s="97" t="s">
        <v>5</v>
      </c>
      <c r="C297" s="97">
        <v>0</v>
      </c>
      <c r="D297" s="47">
        <f>SUM(E293:E296)</f>
        <v>2941.12</v>
      </c>
      <c r="E297" s="47">
        <f>C297*D297/100</f>
        <v>0</v>
      </c>
      <c r="G297" s="8"/>
    </row>
    <row r="298" spans="1:7" ht="15" customHeight="1" x14ac:dyDescent="0.25">
      <c r="A298" s="63" t="s">
        <v>61</v>
      </c>
      <c r="B298" s="63"/>
      <c r="C298" s="97"/>
      <c r="D298" s="47"/>
      <c r="E298" s="128">
        <f>SUM(E293:E297)</f>
        <v>2941.12</v>
      </c>
      <c r="G298" s="8"/>
    </row>
    <row r="299" spans="1:7" ht="15.6" customHeight="1" x14ac:dyDescent="0.25">
      <c r="A299" s="63" t="s">
        <v>62</v>
      </c>
      <c r="B299" s="97" t="s">
        <v>5</v>
      </c>
      <c r="C299" s="97">
        <v>70.81</v>
      </c>
      <c r="D299" s="47">
        <f>E298</f>
        <v>2941.12</v>
      </c>
      <c r="E299" s="47">
        <f>D299*C299/100</f>
        <v>2082.6070720000002</v>
      </c>
      <c r="G299" s="8"/>
    </row>
    <row r="300" spans="1:7" ht="15" customHeight="1" x14ac:dyDescent="0.25">
      <c r="A300" s="63" t="s">
        <v>102</v>
      </c>
      <c r="B300" s="63"/>
      <c r="C300" s="97"/>
      <c r="D300" s="47"/>
      <c r="E300" s="128">
        <f>E298+E299</f>
        <v>5023.7270719999997</v>
      </c>
      <c r="G300" s="8"/>
    </row>
    <row r="301" spans="1:7" ht="15" customHeight="1" x14ac:dyDescent="0.25">
      <c r="A301" s="63" t="s">
        <v>65</v>
      </c>
      <c r="B301" s="97" t="s">
        <v>66</v>
      </c>
      <c r="C301" s="97">
        <v>1</v>
      </c>
      <c r="D301" s="47">
        <f>E300</f>
        <v>5023.7270719999997</v>
      </c>
      <c r="E301" s="47">
        <f>C301*D301</f>
        <v>5023.7270719999997</v>
      </c>
      <c r="G301" s="8"/>
    </row>
    <row r="302" spans="1:7" s="8" customFormat="1" ht="15" customHeight="1" x14ac:dyDescent="0.25">
      <c r="D302" s="47" t="s">
        <v>67</v>
      </c>
      <c r="E302" s="105">
        <f>$B$67</f>
        <v>1</v>
      </c>
      <c r="F302" s="129">
        <f>E301*E302</f>
        <v>5023.7270719999997</v>
      </c>
    </row>
    <row r="303" spans="1:7" ht="11.25" customHeight="1" x14ac:dyDescent="0.25">
      <c r="G303" s="8"/>
    </row>
    <row r="304" spans="1:7" s="8" customFormat="1" ht="12.75" x14ac:dyDescent="0.25">
      <c r="B304" s="136"/>
      <c r="F304" s="9"/>
    </row>
    <row r="305" spans="1:7" ht="15.75" x14ac:dyDescent="0.25">
      <c r="A305" s="70" t="s">
        <v>103</v>
      </c>
      <c r="G305" s="8"/>
    </row>
    <row r="306" spans="1:7" s="8" customFormat="1" ht="15" customHeight="1" x14ac:dyDescent="0.25">
      <c r="A306" s="117" t="s">
        <v>48</v>
      </c>
      <c r="B306" s="118" t="s">
        <v>49</v>
      </c>
      <c r="C306" s="118" t="s">
        <v>28</v>
      </c>
      <c r="D306" s="137" t="s">
        <v>50</v>
      </c>
      <c r="E306" s="137" t="s">
        <v>51</v>
      </c>
      <c r="F306" s="126" t="s">
        <v>52</v>
      </c>
    </row>
    <row r="307" spans="1:7" ht="15" customHeight="1" x14ac:dyDescent="0.25">
      <c r="A307" s="63" t="s">
        <v>104</v>
      </c>
      <c r="B307" s="97" t="s">
        <v>59</v>
      </c>
      <c r="C307" s="104">
        <v>1</v>
      </c>
      <c r="D307" s="138">
        <v>4.8499999999999996</v>
      </c>
      <c r="E307" s="98"/>
      <c r="G307" s="8"/>
    </row>
    <row r="308" spans="1:7" ht="15" customHeight="1" x14ac:dyDescent="0.25">
      <c r="A308" s="63" t="s">
        <v>105</v>
      </c>
      <c r="B308" s="97" t="s">
        <v>106</v>
      </c>
      <c r="C308" s="90">
        <v>26</v>
      </c>
      <c r="D308" s="98"/>
      <c r="E308" s="98"/>
      <c r="G308" s="8"/>
    </row>
    <row r="309" spans="1:7" ht="15" customHeight="1" x14ac:dyDescent="0.25">
      <c r="A309" s="63" t="s">
        <v>107</v>
      </c>
      <c r="B309" s="95" t="s">
        <v>108</v>
      </c>
      <c r="C309" s="104">
        <f>$C$308*2*18</f>
        <v>936</v>
      </c>
      <c r="D309" s="98">
        <f>IFERROR((($C$308*2*$D$307)-(E107*0.06*C308/26))/($C$308*2),"-")</f>
        <v>2.8025923076923078</v>
      </c>
      <c r="E309" s="98">
        <f t="shared" ref="E309:E317" si="2">IFERROR(C309*D309,"-")</f>
        <v>2623.2264</v>
      </c>
      <c r="G309" s="8"/>
    </row>
    <row r="310" spans="1:7" ht="15" customHeight="1" x14ac:dyDescent="0.25">
      <c r="A310" s="63" t="s">
        <v>109</v>
      </c>
      <c r="B310" s="97" t="s">
        <v>108</v>
      </c>
      <c r="C310" s="104">
        <f>$C$308*2*50</f>
        <v>2600</v>
      </c>
      <c r="D310" s="98">
        <f>IFERROR((($C$308*2*$D$307)-(E73*0.06*C308/26))/($C$308*2),"-")</f>
        <v>3.0620346153846154</v>
      </c>
      <c r="E310" s="98">
        <f t="shared" si="2"/>
        <v>7961.29</v>
      </c>
      <c r="G310" s="8"/>
    </row>
    <row r="311" spans="1:7" ht="15" customHeight="1" x14ac:dyDescent="0.25">
      <c r="A311" s="63" t="s">
        <v>110</v>
      </c>
      <c r="B311" s="97" t="s">
        <v>108</v>
      </c>
      <c r="C311" s="104">
        <f>$C$308*2*2</f>
        <v>104</v>
      </c>
      <c r="D311" s="98">
        <f>IFERROR((($C$308*2*$D$307)-(E210*0.06*C308/26))/($C$308*2),"-")</f>
        <v>2.6151499999999999</v>
      </c>
      <c r="E311" s="98">
        <f t="shared" si="2"/>
        <v>271.97559999999999</v>
      </c>
      <c r="G311" s="8"/>
    </row>
    <row r="312" spans="1:7" ht="15" customHeight="1" x14ac:dyDescent="0.25">
      <c r="A312" s="63" t="s">
        <v>111</v>
      </c>
      <c r="B312" s="97" t="s">
        <v>108</v>
      </c>
      <c r="C312" s="104">
        <f>$C$308*2*2</f>
        <v>104</v>
      </c>
      <c r="D312" s="98">
        <f>IFERROR((($C$308*2*$D$307)-(E259*0.06*C308/26))/($C$308*2),"-")</f>
        <v>2.7782807692307689</v>
      </c>
      <c r="E312" s="98">
        <f t="shared" si="2"/>
        <v>288.94119999999998</v>
      </c>
      <c r="G312" s="8"/>
    </row>
    <row r="313" spans="1:7" ht="15" customHeight="1" x14ac:dyDescent="0.25">
      <c r="A313" s="63" t="s">
        <v>112</v>
      </c>
      <c r="B313" s="97" t="s">
        <v>108</v>
      </c>
      <c r="C313" s="104">
        <f>$C$308*2*2</f>
        <v>104</v>
      </c>
      <c r="D313" s="98">
        <f>IFERROR((($C$308*2*$D$307)-(E244*0.06*C308/26))/($C$308*2),"-")</f>
        <v>3.258026923076923</v>
      </c>
      <c r="E313" s="98">
        <f t="shared" si="2"/>
        <v>338.83479999999997</v>
      </c>
      <c r="G313" s="8"/>
    </row>
    <row r="314" spans="1:7" ht="15" customHeight="1" x14ac:dyDescent="0.25">
      <c r="A314" s="63" t="s">
        <v>113</v>
      </c>
      <c r="B314" s="97" t="s">
        <v>108</v>
      </c>
      <c r="C314" s="104">
        <f>$C$308*2*2</f>
        <v>104</v>
      </c>
      <c r="D314" s="98">
        <f>IFERROR((($C$308*2*$D$307)-(E176*0.06*C308/26))/($C$308*2),"-")</f>
        <v>2.093576923076923</v>
      </c>
      <c r="E314" s="98">
        <f t="shared" si="2"/>
        <v>217.732</v>
      </c>
      <c r="G314" s="8"/>
    </row>
    <row r="315" spans="1:7" ht="15" customHeight="1" x14ac:dyDescent="0.25">
      <c r="A315" s="63" t="s">
        <v>40</v>
      </c>
      <c r="B315" s="97" t="s">
        <v>108</v>
      </c>
      <c r="C315" s="104">
        <f>$C$308*2*2</f>
        <v>104</v>
      </c>
      <c r="D315" s="98">
        <f>IFERROR((($C$308*2*$D$307)-(E161*0.06*C308/26))/($C$308*2),"-")</f>
        <v>2.8683961538461533</v>
      </c>
      <c r="E315" s="98">
        <f t="shared" si="2"/>
        <v>298.31319999999994</v>
      </c>
      <c r="G315" s="8"/>
    </row>
    <row r="316" spans="1:7" ht="15" customHeight="1" x14ac:dyDescent="0.25">
      <c r="A316" s="63" t="s">
        <v>41</v>
      </c>
      <c r="B316" s="97" t="s">
        <v>108</v>
      </c>
      <c r="C316" s="104">
        <f>$C$308*2*1</f>
        <v>52</v>
      </c>
      <c r="D316" s="98">
        <f>IFERROR((($C$308*2*$D$307)-(E147*0.06*C308/26))/($C$308*2),"-")</f>
        <v>2.093576923076923</v>
      </c>
      <c r="E316" s="98">
        <f t="shared" si="2"/>
        <v>108.866</v>
      </c>
      <c r="G316" s="8"/>
    </row>
    <row r="317" spans="1:7" ht="15" customHeight="1" x14ac:dyDescent="0.25">
      <c r="A317" s="63" t="s">
        <v>42</v>
      </c>
      <c r="B317" s="97" t="s">
        <v>108</v>
      </c>
      <c r="C317" s="104">
        <f>$C$308*2*1</f>
        <v>52</v>
      </c>
      <c r="D317" s="98">
        <f>IFERROR((($C$308*2*$D$307)-(E293*0.06*C308/26))/($C$308*2),"-")</f>
        <v>1.4563999999999999</v>
      </c>
      <c r="E317" s="98">
        <f t="shared" si="2"/>
        <v>75.732799999999997</v>
      </c>
      <c r="G317" s="8"/>
    </row>
    <row r="318" spans="1:7" ht="15" customHeight="1" x14ac:dyDescent="0.25">
      <c r="A318" s="63"/>
      <c r="B318" s="97"/>
      <c r="C318" s="139"/>
      <c r="D318" s="47"/>
      <c r="E318" s="47"/>
      <c r="G318" s="8"/>
    </row>
    <row r="319" spans="1:7" ht="15" customHeight="1" x14ac:dyDescent="0.25">
      <c r="F319" s="129">
        <f>SUM(E309:E319)</f>
        <v>12184.912</v>
      </c>
      <c r="G319" s="8"/>
    </row>
    <row r="320" spans="1:7" x14ac:dyDescent="0.25">
      <c r="F320" s="27"/>
      <c r="G320" s="8"/>
    </row>
    <row r="321" spans="1:7" ht="15.75" x14ac:dyDescent="0.25">
      <c r="A321" s="70" t="s">
        <v>114</v>
      </c>
      <c r="G321" s="8"/>
    </row>
    <row r="322" spans="1:7" s="8" customFormat="1" ht="15" customHeight="1" x14ac:dyDescent="0.25">
      <c r="A322" s="117" t="s">
        <v>48</v>
      </c>
      <c r="B322" s="118" t="s">
        <v>49</v>
      </c>
      <c r="C322" s="118" t="s">
        <v>28</v>
      </c>
      <c r="D322" s="137" t="s">
        <v>50</v>
      </c>
      <c r="E322" s="137" t="s">
        <v>51</v>
      </c>
      <c r="F322" s="126" t="s">
        <v>52</v>
      </c>
    </row>
    <row r="323" spans="1:7" s="8" customFormat="1" ht="15" customHeight="1" x14ac:dyDescent="0.25">
      <c r="A323" s="63" t="s">
        <v>109</v>
      </c>
      <c r="B323" s="97" t="s">
        <v>115</v>
      </c>
      <c r="C323" s="140">
        <f>C308*(E47+E48)</f>
        <v>1222</v>
      </c>
      <c r="D323" s="141">
        <v>20.18</v>
      </c>
      <c r="E323" s="47">
        <f t="shared" ref="E323:E330" si="3">C323*D323</f>
        <v>24659.96</v>
      </c>
      <c r="F323" s="27"/>
    </row>
    <row r="324" spans="1:7" s="8" customFormat="1" ht="15" customHeight="1" x14ac:dyDescent="0.25">
      <c r="A324" s="63" t="s">
        <v>110</v>
      </c>
      <c r="B324" s="97" t="s">
        <v>115</v>
      </c>
      <c r="C324" s="140">
        <f>C308*(E51+E52)</f>
        <v>52</v>
      </c>
      <c r="D324" s="141">
        <v>20.18</v>
      </c>
      <c r="E324" s="47">
        <f t="shared" si="3"/>
        <v>1049.3599999999999</v>
      </c>
      <c r="F324" s="27"/>
    </row>
    <row r="325" spans="1:7" s="8" customFormat="1" ht="15" customHeight="1" x14ac:dyDescent="0.25">
      <c r="A325" s="63" t="s">
        <v>111</v>
      </c>
      <c r="B325" s="97" t="s">
        <v>115</v>
      </c>
      <c r="C325" s="140">
        <f>C308*(E53+E54)</f>
        <v>52</v>
      </c>
      <c r="D325" s="141">
        <v>20.18</v>
      </c>
      <c r="E325" s="47">
        <f t="shared" si="3"/>
        <v>1049.3599999999999</v>
      </c>
    </row>
    <row r="326" spans="1:7" s="8" customFormat="1" ht="15" customHeight="1" x14ac:dyDescent="0.25">
      <c r="A326" s="63" t="s">
        <v>112</v>
      </c>
      <c r="B326" s="97" t="s">
        <v>115</v>
      </c>
      <c r="C326" s="140">
        <f>C308*(E55)</f>
        <v>52</v>
      </c>
      <c r="D326" s="141">
        <v>20.18</v>
      </c>
      <c r="E326" s="47">
        <f t="shared" si="3"/>
        <v>1049.3599999999999</v>
      </c>
      <c r="F326" s="27"/>
    </row>
    <row r="327" spans="1:7" s="8" customFormat="1" ht="15" customHeight="1" x14ac:dyDescent="0.25">
      <c r="A327" s="63" t="s">
        <v>113</v>
      </c>
      <c r="B327" s="97" t="s">
        <v>115</v>
      </c>
      <c r="C327" s="140">
        <f>C308*(E56+E57)</f>
        <v>52</v>
      </c>
      <c r="D327" s="141">
        <v>20.18</v>
      </c>
      <c r="E327" s="47">
        <f t="shared" si="3"/>
        <v>1049.3599999999999</v>
      </c>
      <c r="F327" s="142"/>
    </row>
    <row r="328" spans="1:7" s="8" customFormat="1" ht="15" customHeight="1" x14ac:dyDescent="0.25">
      <c r="A328" s="63" t="s">
        <v>40</v>
      </c>
      <c r="B328" s="97" t="s">
        <v>115</v>
      </c>
      <c r="C328" s="140">
        <f>C308*(E58)</f>
        <v>52</v>
      </c>
      <c r="D328" s="141">
        <v>20.18</v>
      </c>
      <c r="E328" s="47">
        <f t="shared" si="3"/>
        <v>1049.3599999999999</v>
      </c>
      <c r="F328" s="27"/>
    </row>
    <row r="329" spans="1:7" s="8" customFormat="1" ht="15" customHeight="1" x14ac:dyDescent="0.25">
      <c r="A329" s="63" t="s">
        <v>41</v>
      </c>
      <c r="B329" s="97" t="s">
        <v>115</v>
      </c>
      <c r="C329" s="140">
        <f>C308*(E59)</f>
        <v>26</v>
      </c>
      <c r="D329" s="141">
        <v>20.18</v>
      </c>
      <c r="E329" s="47">
        <f t="shared" si="3"/>
        <v>524.67999999999995</v>
      </c>
      <c r="F329" s="27"/>
    </row>
    <row r="330" spans="1:7" s="8" customFormat="1" ht="15" customHeight="1" x14ac:dyDescent="0.25">
      <c r="A330" s="63" t="s">
        <v>42</v>
      </c>
      <c r="B330" s="97" t="s">
        <v>115</v>
      </c>
      <c r="C330" s="140">
        <f>C308*(E60)</f>
        <v>26</v>
      </c>
      <c r="D330" s="141">
        <v>20.18</v>
      </c>
      <c r="E330" s="47">
        <f t="shared" si="3"/>
        <v>524.67999999999995</v>
      </c>
    </row>
    <row r="331" spans="1:7" s="8" customFormat="1" ht="15" customHeight="1" x14ac:dyDescent="0.25">
      <c r="A331" s="63"/>
      <c r="B331" s="63"/>
      <c r="C331" s="63"/>
      <c r="D331" s="116"/>
      <c r="E331" s="105"/>
      <c r="F331" s="129">
        <f>SUM(E323:E330)</f>
        <v>30956.120000000003</v>
      </c>
    </row>
    <row r="332" spans="1:7" x14ac:dyDescent="0.25">
      <c r="G332" s="8"/>
    </row>
    <row r="333" spans="1:7" s="8" customFormat="1" ht="12.75" x14ac:dyDescent="0.25">
      <c r="A333" s="143" t="s">
        <v>116</v>
      </c>
      <c r="B333" s="144"/>
      <c r="C333" s="144"/>
      <c r="D333" s="43"/>
      <c r="E333" s="145"/>
      <c r="F333" s="146">
        <f>F331+F319+F302+F289+F268+F254+F240+F219+F206+F185+F171+F156+F143+F120+F103+F83</f>
        <v>373516.96750047291</v>
      </c>
    </row>
    <row r="335" spans="1:7" x14ac:dyDescent="0.25">
      <c r="G335" s="8"/>
    </row>
    <row r="336" spans="1:7" ht="16.149999999999999" customHeight="1" x14ac:dyDescent="0.25">
      <c r="A336" s="147" t="s">
        <v>117</v>
      </c>
      <c r="B336" s="148"/>
      <c r="G336" s="8"/>
    </row>
    <row r="337" spans="1:7" ht="13.9" customHeight="1" x14ac:dyDescent="0.25">
      <c r="G337" s="8"/>
    </row>
    <row r="338" spans="1:7" ht="15" customHeight="1" x14ac:dyDescent="0.25">
      <c r="A338" s="149" t="s">
        <v>118</v>
      </c>
      <c r="G338" s="8"/>
    </row>
    <row r="339" spans="1:7" s="8" customFormat="1" ht="27.75" customHeight="1" x14ac:dyDescent="0.25"/>
    <row r="340" spans="1:7" s="8" customFormat="1" ht="24" x14ac:dyDescent="0.25">
      <c r="A340" s="71" t="s">
        <v>48</v>
      </c>
      <c r="B340" s="72" t="s">
        <v>49</v>
      </c>
      <c r="C340" s="150" t="s">
        <v>119</v>
      </c>
      <c r="D340" s="73" t="s">
        <v>50</v>
      </c>
      <c r="E340" s="73" t="s">
        <v>51</v>
      </c>
      <c r="F340" s="74" t="s">
        <v>52</v>
      </c>
    </row>
    <row r="341" spans="1:7" ht="15" customHeight="1" x14ac:dyDescent="0.25">
      <c r="A341" s="94" t="s">
        <v>120</v>
      </c>
      <c r="B341" s="95" t="s">
        <v>115</v>
      </c>
      <c r="C341" s="97">
        <v>12</v>
      </c>
      <c r="D341" s="96">
        <v>114.9</v>
      </c>
      <c r="E341" s="96">
        <f t="shared" ref="E341:E350" si="4">IFERROR(D341/C341,0)</f>
        <v>9.5750000000000011</v>
      </c>
      <c r="G341" s="8"/>
    </row>
    <row r="342" spans="1:7" ht="15" customHeight="1" x14ac:dyDescent="0.25">
      <c r="A342" s="63" t="s">
        <v>121</v>
      </c>
      <c r="B342" s="97" t="s">
        <v>115</v>
      </c>
      <c r="C342" s="97">
        <v>6</v>
      </c>
      <c r="D342" s="96">
        <v>61.81</v>
      </c>
      <c r="E342" s="96">
        <f t="shared" si="4"/>
        <v>10.301666666666668</v>
      </c>
      <c r="G342" s="8"/>
    </row>
    <row r="343" spans="1:7" ht="15" customHeight="1" x14ac:dyDescent="0.25">
      <c r="A343" s="63" t="s">
        <v>122</v>
      </c>
      <c r="B343" s="97" t="s">
        <v>115</v>
      </c>
      <c r="C343" s="97">
        <v>6</v>
      </c>
      <c r="D343" s="96">
        <v>22.84</v>
      </c>
      <c r="E343" s="96">
        <f t="shared" si="4"/>
        <v>3.8066666666666666</v>
      </c>
      <c r="G343" s="8"/>
    </row>
    <row r="344" spans="1:7" ht="15" customHeight="1" x14ac:dyDescent="0.25">
      <c r="A344" s="63" t="s">
        <v>123</v>
      </c>
      <c r="B344" s="97" t="s">
        <v>115</v>
      </c>
      <c r="C344" s="97">
        <v>6</v>
      </c>
      <c r="D344" s="96">
        <v>10.87</v>
      </c>
      <c r="E344" s="96">
        <f t="shared" si="4"/>
        <v>1.8116666666666665</v>
      </c>
      <c r="G344" s="8"/>
    </row>
    <row r="345" spans="1:7" ht="15" customHeight="1" x14ac:dyDescent="0.25">
      <c r="A345" s="63" t="s">
        <v>124</v>
      </c>
      <c r="B345" s="97" t="s">
        <v>125</v>
      </c>
      <c r="C345" s="97">
        <v>6</v>
      </c>
      <c r="D345" s="96">
        <v>45.21</v>
      </c>
      <c r="E345" s="96">
        <f t="shared" si="4"/>
        <v>7.5350000000000001</v>
      </c>
    </row>
    <row r="346" spans="1:7" ht="15" customHeight="1" x14ac:dyDescent="0.25">
      <c r="A346" s="63" t="s">
        <v>126</v>
      </c>
      <c r="B346" s="97" t="s">
        <v>125</v>
      </c>
      <c r="C346" s="97">
        <v>3</v>
      </c>
      <c r="D346" s="96">
        <v>2.496</v>
      </c>
      <c r="E346" s="96">
        <f t="shared" si="4"/>
        <v>0.83199999999999996</v>
      </c>
    </row>
    <row r="347" spans="1:7" s="152" customFormat="1" ht="15" customHeight="1" x14ac:dyDescent="0.2">
      <c r="A347" s="63" t="s">
        <v>127</v>
      </c>
      <c r="B347" s="97" t="s">
        <v>115</v>
      </c>
      <c r="C347" s="97">
        <v>6</v>
      </c>
      <c r="D347" s="96">
        <v>89</v>
      </c>
      <c r="E347" s="96">
        <f t="shared" si="4"/>
        <v>14.833333333333334</v>
      </c>
      <c r="F347" s="9"/>
      <c r="G347" s="151"/>
    </row>
    <row r="348" spans="1:7" ht="15" customHeight="1" x14ac:dyDescent="0.25">
      <c r="A348" s="153" t="s">
        <v>128</v>
      </c>
      <c r="B348" s="154" t="s">
        <v>115</v>
      </c>
      <c r="C348" s="97">
        <v>6</v>
      </c>
      <c r="D348" s="96">
        <v>13.67</v>
      </c>
      <c r="E348" s="96">
        <f t="shared" si="4"/>
        <v>2.2783333333333333</v>
      </c>
      <c r="F348" s="151"/>
    </row>
    <row r="349" spans="1:7" ht="15" customHeight="1" x14ac:dyDescent="0.25">
      <c r="A349" s="63" t="s">
        <v>129</v>
      </c>
      <c r="B349" s="97" t="s">
        <v>125</v>
      </c>
      <c r="C349" s="97">
        <v>0.5</v>
      </c>
      <c r="D349" s="96">
        <v>9.3000000000000007</v>
      </c>
      <c r="E349" s="96">
        <f t="shared" si="4"/>
        <v>18.600000000000001</v>
      </c>
    </row>
    <row r="350" spans="1:7" ht="15" customHeight="1" x14ac:dyDescent="0.25">
      <c r="A350" s="63" t="s">
        <v>130</v>
      </c>
      <c r="B350" s="97" t="s">
        <v>131</v>
      </c>
      <c r="C350" s="97">
        <v>1</v>
      </c>
      <c r="D350" s="96">
        <v>8.84</v>
      </c>
      <c r="E350" s="96">
        <f t="shared" si="4"/>
        <v>8.84</v>
      </c>
    </row>
    <row r="351" spans="1:7" ht="15" customHeight="1" x14ac:dyDescent="0.25">
      <c r="A351" s="63" t="s">
        <v>132</v>
      </c>
      <c r="B351" s="97" t="s">
        <v>133</v>
      </c>
      <c r="C351" s="97">
        <v>1</v>
      </c>
      <c r="D351" s="96">
        <v>20</v>
      </c>
      <c r="E351" s="98">
        <f>C351*D351</f>
        <v>20</v>
      </c>
    </row>
    <row r="352" spans="1:7" ht="15" customHeight="1" x14ac:dyDescent="0.25">
      <c r="A352" s="63" t="s">
        <v>65</v>
      </c>
      <c r="B352" s="97" t="s">
        <v>66</v>
      </c>
      <c r="C352" s="81">
        <f>E47+E48</f>
        <v>47</v>
      </c>
      <c r="D352" s="98">
        <f>SUM(E341:E351)</f>
        <v>98.413666666666671</v>
      </c>
      <c r="E352" s="98">
        <f>C352*D352</f>
        <v>4625.4423333333334</v>
      </c>
    </row>
    <row r="353" spans="1:7" ht="15" customHeight="1" x14ac:dyDescent="0.25">
      <c r="D353" s="116" t="s">
        <v>67</v>
      </c>
      <c r="E353" s="105">
        <f>$B$67</f>
        <v>1</v>
      </c>
      <c r="F353" s="93">
        <f>E352*E353</f>
        <v>4625.4423333333334</v>
      </c>
    </row>
    <row r="354" spans="1:7" ht="13.9" customHeight="1" x14ac:dyDescent="0.25"/>
    <row r="355" spans="1:7" ht="16.149999999999999" customHeight="1" x14ac:dyDescent="0.25">
      <c r="A355" s="149" t="s">
        <v>134</v>
      </c>
    </row>
    <row r="356" spans="1:7" s="8" customFormat="1" ht="12.75" x14ac:dyDescent="0.25">
      <c r="G356" s="9"/>
    </row>
    <row r="357" spans="1:7" ht="24" x14ac:dyDescent="0.25">
      <c r="A357" s="71" t="s">
        <v>48</v>
      </c>
      <c r="B357" s="72" t="s">
        <v>49</v>
      </c>
      <c r="C357" s="150" t="s">
        <v>119</v>
      </c>
      <c r="D357" s="73" t="s">
        <v>50</v>
      </c>
      <c r="E357" s="73" t="s">
        <v>51</v>
      </c>
      <c r="F357" s="74" t="s">
        <v>52</v>
      </c>
    </row>
    <row r="358" spans="1:7" ht="15" customHeight="1" x14ac:dyDescent="0.25">
      <c r="A358" s="94" t="s">
        <v>120</v>
      </c>
      <c r="B358" s="95" t="s">
        <v>115</v>
      </c>
      <c r="C358" s="97">
        <v>12</v>
      </c>
      <c r="D358" s="96">
        <f>+D341</f>
        <v>114.9</v>
      </c>
      <c r="E358" s="96">
        <f t="shared" ref="E358:E363" si="5">IFERROR(D358/C358,0)</f>
        <v>9.5750000000000011</v>
      </c>
    </row>
    <row r="359" spans="1:7" ht="15" customHeight="1" x14ac:dyDescent="0.25">
      <c r="A359" s="63" t="s">
        <v>121</v>
      </c>
      <c r="B359" s="97" t="s">
        <v>115</v>
      </c>
      <c r="C359" s="97">
        <v>6</v>
      </c>
      <c r="D359" s="98">
        <f>+D342</f>
        <v>61.81</v>
      </c>
      <c r="E359" s="96">
        <f t="shared" si="5"/>
        <v>10.301666666666668</v>
      </c>
    </row>
    <row r="360" spans="1:7" ht="15" customHeight="1" x14ac:dyDescent="0.25">
      <c r="A360" s="63" t="s">
        <v>122</v>
      </c>
      <c r="B360" s="97" t="s">
        <v>115</v>
      </c>
      <c r="C360" s="97">
        <v>6</v>
      </c>
      <c r="D360" s="98">
        <f>+D343</f>
        <v>22.84</v>
      </c>
      <c r="E360" s="96">
        <f t="shared" si="5"/>
        <v>3.8066666666666666</v>
      </c>
    </row>
    <row r="361" spans="1:7" ht="15" customHeight="1" x14ac:dyDescent="0.25">
      <c r="A361" s="63" t="s">
        <v>124</v>
      </c>
      <c r="B361" s="97" t="s">
        <v>125</v>
      </c>
      <c r="C361" s="97">
        <v>6</v>
      </c>
      <c r="D361" s="98">
        <f>+D345</f>
        <v>45.21</v>
      </c>
      <c r="E361" s="96">
        <f t="shared" si="5"/>
        <v>7.5350000000000001</v>
      </c>
      <c r="G361" s="8"/>
    </row>
    <row r="362" spans="1:7" ht="15" customHeight="1" x14ac:dyDescent="0.25">
      <c r="A362" s="63" t="s">
        <v>127</v>
      </c>
      <c r="B362" s="97" t="s">
        <v>115</v>
      </c>
      <c r="C362" s="97">
        <v>6</v>
      </c>
      <c r="D362" s="98">
        <f>+D347</f>
        <v>89</v>
      </c>
      <c r="E362" s="96">
        <f t="shared" si="5"/>
        <v>14.833333333333334</v>
      </c>
      <c r="G362" s="8"/>
    </row>
    <row r="363" spans="1:7" ht="15" customHeight="1" x14ac:dyDescent="0.25">
      <c r="A363" s="63" t="s">
        <v>130</v>
      </c>
      <c r="B363" s="97" t="s">
        <v>131</v>
      </c>
      <c r="C363" s="97">
        <v>1</v>
      </c>
      <c r="D363" s="98">
        <f>+D350</f>
        <v>8.84</v>
      </c>
      <c r="E363" s="96">
        <f t="shared" si="5"/>
        <v>8.84</v>
      </c>
      <c r="G363" s="8"/>
    </row>
    <row r="364" spans="1:7" ht="15" customHeight="1" x14ac:dyDescent="0.25">
      <c r="A364" s="63" t="s">
        <v>132</v>
      </c>
      <c r="B364" s="97" t="s">
        <v>133</v>
      </c>
      <c r="C364" s="155">
        <v>1</v>
      </c>
      <c r="D364" s="96">
        <f>+D351</f>
        <v>20</v>
      </c>
      <c r="E364" s="98">
        <f>C364*D364</f>
        <v>20</v>
      </c>
      <c r="G364" s="8"/>
    </row>
    <row r="365" spans="1:7" ht="15" customHeight="1" x14ac:dyDescent="0.25">
      <c r="A365" s="63" t="s">
        <v>65</v>
      </c>
      <c r="B365" s="97" t="s">
        <v>66</v>
      </c>
      <c r="C365" s="89">
        <v>30</v>
      </c>
      <c r="D365" s="98">
        <f>SUM(D358:D364)</f>
        <v>362.59999999999997</v>
      </c>
      <c r="E365" s="98">
        <f>C365*D365</f>
        <v>10877.999999999998</v>
      </c>
      <c r="G365" s="8"/>
    </row>
    <row r="366" spans="1:7" s="8" customFormat="1" ht="15" customHeight="1" x14ac:dyDescent="0.25">
      <c r="D366" s="116" t="s">
        <v>67</v>
      </c>
      <c r="E366" s="105">
        <f>$B$67</f>
        <v>1</v>
      </c>
      <c r="F366" s="93">
        <f>E365*E366</f>
        <v>10877.999999999998</v>
      </c>
    </row>
    <row r="367" spans="1:7" ht="11.25" customHeight="1" x14ac:dyDescent="0.25">
      <c r="D367" s="91"/>
      <c r="F367" s="156"/>
      <c r="G367" s="8"/>
    </row>
    <row r="368" spans="1:7" s="8" customFormat="1" ht="16.149999999999999" customHeight="1" x14ac:dyDescent="0.25">
      <c r="A368" s="147" t="s">
        <v>135</v>
      </c>
      <c r="B368" s="157"/>
      <c r="C368" s="157"/>
      <c r="D368" s="158"/>
      <c r="E368" s="159"/>
      <c r="F368" s="160">
        <f>+F353+F366</f>
        <v>15503.442333333332</v>
      </c>
    </row>
    <row r="369" spans="1:10" ht="11.25" customHeight="1" x14ac:dyDescent="0.25">
      <c r="G369" s="8"/>
    </row>
    <row r="370" spans="1:10" x14ac:dyDescent="0.25">
      <c r="G370" s="8"/>
    </row>
    <row r="371" spans="1:10" ht="16.149999999999999" customHeight="1" x14ac:dyDescent="0.25">
      <c r="A371" s="161" t="s">
        <v>136</v>
      </c>
      <c r="B371" s="162"/>
      <c r="G371" s="8"/>
    </row>
    <row r="372" spans="1:10" x14ac:dyDescent="0.25">
      <c r="G372" s="8"/>
    </row>
    <row r="373" spans="1:10" ht="15" customHeight="1" x14ac:dyDescent="0.25">
      <c r="A373" s="149" t="s">
        <v>137</v>
      </c>
      <c r="G373" s="8"/>
    </row>
    <row r="374" spans="1:10" ht="11.25" customHeight="1" x14ac:dyDescent="0.25">
      <c r="G374" s="8"/>
    </row>
    <row r="375" spans="1:10" ht="16.149999999999999" customHeight="1" x14ac:dyDescent="0.25">
      <c r="A375" s="163" t="s">
        <v>138</v>
      </c>
      <c r="G375" s="8"/>
    </row>
    <row r="376" spans="1:10" s="8" customFormat="1" ht="12.75" x14ac:dyDescent="0.25">
      <c r="A376" s="71" t="s">
        <v>48</v>
      </c>
      <c r="B376" s="72" t="s">
        <v>49</v>
      </c>
      <c r="C376" s="72" t="s">
        <v>28</v>
      </c>
      <c r="D376" s="73" t="s">
        <v>50</v>
      </c>
      <c r="E376" s="73" t="s">
        <v>51</v>
      </c>
      <c r="F376" s="74" t="s">
        <v>52</v>
      </c>
    </row>
    <row r="377" spans="1:10" ht="15" customHeight="1" x14ac:dyDescent="0.25">
      <c r="A377" s="94" t="s">
        <v>139</v>
      </c>
      <c r="B377" s="95" t="s">
        <v>115</v>
      </c>
      <c r="C377" s="95">
        <v>1</v>
      </c>
      <c r="D377" s="96">
        <v>340000</v>
      </c>
      <c r="E377" s="96">
        <f>C377*D377</f>
        <v>340000</v>
      </c>
      <c r="G377" s="8"/>
    </row>
    <row r="378" spans="1:10" ht="15" customHeight="1" x14ac:dyDescent="0.25">
      <c r="A378" s="63" t="s">
        <v>140</v>
      </c>
      <c r="B378" s="97" t="s">
        <v>141</v>
      </c>
      <c r="C378" s="97">
        <v>5</v>
      </c>
      <c r="D378" s="98"/>
      <c r="E378" s="98"/>
      <c r="G378" s="8"/>
    </row>
    <row r="379" spans="1:10" ht="15" customHeight="1" x14ac:dyDescent="0.25">
      <c r="A379" s="63" t="s">
        <v>142</v>
      </c>
      <c r="B379" s="97" t="s">
        <v>141</v>
      </c>
      <c r="C379" s="97">
        <v>0</v>
      </c>
      <c r="D379" s="98"/>
      <c r="E379" s="98"/>
      <c r="F379" s="122"/>
      <c r="I379" s="164"/>
      <c r="J379" s="164"/>
    </row>
    <row r="380" spans="1:10" ht="15" customHeight="1" x14ac:dyDescent="0.25">
      <c r="A380" s="63" t="s">
        <v>143</v>
      </c>
      <c r="B380" s="97" t="s">
        <v>5</v>
      </c>
      <c r="C380" s="104">
        <v>33.630000000000003</v>
      </c>
      <c r="D380" s="98">
        <f>E377</f>
        <v>340000</v>
      </c>
      <c r="E380" s="98">
        <f>C380*D380/100</f>
        <v>114342</v>
      </c>
    </row>
    <row r="381" spans="1:10" ht="15" customHeight="1" x14ac:dyDescent="0.25">
      <c r="A381" s="165" t="s">
        <v>144</v>
      </c>
      <c r="B381" s="166" t="s">
        <v>54</v>
      </c>
      <c r="C381" s="166">
        <f>C378*12</f>
        <v>60</v>
      </c>
      <c r="D381" s="167">
        <f>IF(C379&lt;=C378,E380,0)</f>
        <v>114342</v>
      </c>
      <c r="E381" s="167">
        <f>IFERROR(D381/C381,0)</f>
        <v>1905.7</v>
      </c>
    </row>
    <row r="382" spans="1:10" ht="15" customHeight="1" x14ac:dyDescent="0.25">
      <c r="A382" s="94" t="s">
        <v>145</v>
      </c>
      <c r="B382" s="95" t="s">
        <v>115</v>
      </c>
      <c r="C382" s="95">
        <f>C377</f>
        <v>1</v>
      </c>
      <c r="D382" s="96">
        <v>172000</v>
      </c>
      <c r="E382" s="96">
        <f>C382*D382</f>
        <v>172000</v>
      </c>
      <c r="G382" s="8"/>
    </row>
    <row r="383" spans="1:10" ht="15" customHeight="1" x14ac:dyDescent="0.25">
      <c r="A383" s="63" t="s">
        <v>146</v>
      </c>
      <c r="B383" s="97" t="s">
        <v>141</v>
      </c>
      <c r="C383" s="97">
        <v>5</v>
      </c>
      <c r="D383" s="98"/>
      <c r="E383" s="98"/>
    </row>
    <row r="384" spans="1:10" ht="15" customHeight="1" x14ac:dyDescent="0.25">
      <c r="A384" s="63" t="s">
        <v>147</v>
      </c>
      <c r="B384" s="97" t="s">
        <v>141</v>
      </c>
      <c r="C384" s="97">
        <v>0</v>
      </c>
      <c r="D384" s="98"/>
      <c r="E384" s="98"/>
      <c r="F384" s="122"/>
      <c r="I384" s="164"/>
      <c r="J384" s="164"/>
    </row>
    <row r="385" spans="1:10" ht="15" customHeight="1" x14ac:dyDescent="0.25">
      <c r="A385" s="63" t="s">
        <v>148</v>
      </c>
      <c r="B385" s="97" t="s">
        <v>5</v>
      </c>
      <c r="C385" s="98">
        <v>33.630000000000003</v>
      </c>
      <c r="D385" s="98">
        <f>E382</f>
        <v>172000</v>
      </c>
      <c r="E385" s="98">
        <f>C385*D385/100</f>
        <v>57843.6</v>
      </c>
    </row>
    <row r="386" spans="1:10" ht="15" customHeight="1" x14ac:dyDescent="0.25">
      <c r="A386" s="107" t="s">
        <v>149</v>
      </c>
      <c r="B386" s="168" t="s">
        <v>54</v>
      </c>
      <c r="C386" s="168">
        <v>60</v>
      </c>
      <c r="D386" s="108">
        <f>IF(C384&lt;=C383,E385,0)</f>
        <v>57843.6</v>
      </c>
      <c r="E386" s="108">
        <f>IFERROR(D386/C386,0)</f>
        <v>964.06</v>
      </c>
    </row>
    <row r="387" spans="1:10" ht="15" customHeight="1" x14ac:dyDescent="0.25">
      <c r="A387" s="100" t="s">
        <v>150</v>
      </c>
      <c r="B387" s="101"/>
      <c r="C387" s="101"/>
      <c r="D387" s="102"/>
      <c r="E387" s="103">
        <f>E381+E386</f>
        <v>2869.76</v>
      </c>
    </row>
    <row r="388" spans="1:10" ht="15" customHeight="1" x14ac:dyDescent="0.25">
      <c r="A388" s="107" t="s">
        <v>151</v>
      </c>
      <c r="B388" s="168" t="s">
        <v>115</v>
      </c>
      <c r="C388" s="155">
        <f>E64</f>
        <v>10</v>
      </c>
      <c r="D388" s="108">
        <f>E387</f>
        <v>2869.76</v>
      </c>
      <c r="E388" s="103">
        <f>C388*D388</f>
        <v>28697.600000000002</v>
      </c>
    </row>
    <row r="389" spans="1:10" ht="15" customHeight="1" x14ac:dyDescent="0.25">
      <c r="B389" s="169"/>
      <c r="C389" s="169"/>
      <c r="D389" s="116" t="s">
        <v>67</v>
      </c>
      <c r="E389" s="47">
        <f>$B$67</f>
        <v>1</v>
      </c>
      <c r="F389" s="93">
        <f>E388*E389</f>
        <v>28697.600000000002</v>
      </c>
    </row>
    <row r="390" spans="1:10" ht="11.25" customHeight="1" x14ac:dyDescent="0.25">
      <c r="A390" s="169"/>
    </row>
    <row r="391" spans="1:10" ht="16.149999999999999" customHeight="1" x14ac:dyDescent="0.25">
      <c r="A391" s="163" t="s">
        <v>152</v>
      </c>
    </row>
    <row r="392" spans="1:10" ht="15" customHeight="1" x14ac:dyDescent="0.25">
      <c r="A392" s="71" t="s">
        <v>48</v>
      </c>
      <c r="B392" s="170" t="s">
        <v>49</v>
      </c>
      <c r="C392" s="171" t="s">
        <v>28</v>
      </c>
      <c r="D392" s="172" t="s">
        <v>50</v>
      </c>
      <c r="E392" s="173" t="s">
        <v>51</v>
      </c>
      <c r="F392" s="174" t="s">
        <v>52</v>
      </c>
      <c r="I392" s="164"/>
      <c r="J392" s="164"/>
    </row>
    <row r="393" spans="1:10" ht="15" customHeight="1" x14ac:dyDescent="0.25">
      <c r="A393" s="94" t="s">
        <v>153</v>
      </c>
      <c r="B393" s="95" t="s">
        <v>115</v>
      </c>
      <c r="C393" s="95">
        <v>1</v>
      </c>
      <c r="D393" s="98">
        <f>D377</f>
        <v>340000</v>
      </c>
      <c r="E393" s="96">
        <f>C393*D393</f>
        <v>340000</v>
      </c>
      <c r="F393" s="122"/>
      <c r="I393" s="164"/>
      <c r="J393" s="164"/>
    </row>
    <row r="394" spans="1:10" ht="15" customHeight="1" x14ac:dyDescent="0.25">
      <c r="A394" s="63" t="s">
        <v>154</v>
      </c>
      <c r="B394" s="97" t="s">
        <v>5</v>
      </c>
      <c r="C394" s="97">
        <v>10.75</v>
      </c>
      <c r="D394" s="98"/>
      <c r="E394" s="98"/>
      <c r="F394" s="122"/>
      <c r="I394" s="164"/>
      <c r="J394" s="164"/>
    </row>
    <row r="395" spans="1:10" ht="15" customHeight="1" x14ac:dyDescent="0.25">
      <c r="A395" s="63" t="s">
        <v>155</v>
      </c>
      <c r="B395" s="97" t="s">
        <v>59</v>
      </c>
      <c r="C395" s="175">
        <f>IFERROR(IF(C379&lt;=C378,E377-(C380/(100*C378)*C379)*E377,E377-E380),0)</f>
        <v>340000</v>
      </c>
      <c r="D395" s="98"/>
      <c r="E395" s="98"/>
      <c r="F395" s="122"/>
      <c r="I395" s="164"/>
      <c r="J395" s="164"/>
    </row>
    <row r="396" spans="1:10" ht="15" customHeight="1" x14ac:dyDescent="0.25">
      <c r="A396" s="63" t="s">
        <v>156</v>
      </c>
      <c r="B396" s="97" t="s">
        <v>59</v>
      </c>
      <c r="C396" s="98">
        <f>IFERROR(IF(C379&gt;=C378,C395,((((C395)-(E377-E380))*(((C378-C379)+1)/(2*(C378-C379))))+(E377-E380))),0)</f>
        <v>294263.2</v>
      </c>
      <c r="D396" s="98"/>
      <c r="E396" s="98"/>
      <c r="F396" s="122"/>
      <c r="I396" s="164"/>
      <c r="J396" s="164"/>
    </row>
    <row r="397" spans="1:10" ht="15" customHeight="1" x14ac:dyDescent="0.25">
      <c r="A397" s="165" t="s">
        <v>157</v>
      </c>
      <c r="B397" s="166" t="s">
        <v>59</v>
      </c>
      <c r="C397" s="166"/>
      <c r="D397" s="167">
        <f>C394*C396/12/100</f>
        <v>2636.1078333333335</v>
      </c>
      <c r="E397" s="167">
        <f>D397</f>
        <v>2636.1078333333335</v>
      </c>
      <c r="F397" s="122"/>
      <c r="I397" s="164"/>
      <c r="J397" s="164"/>
    </row>
    <row r="398" spans="1:10" ht="15" customHeight="1" x14ac:dyDescent="0.25">
      <c r="A398" s="94" t="s">
        <v>158</v>
      </c>
      <c r="B398" s="95" t="s">
        <v>115</v>
      </c>
      <c r="C398" s="95">
        <f>C382</f>
        <v>1</v>
      </c>
      <c r="D398" s="96">
        <f>D382</f>
        <v>172000</v>
      </c>
      <c r="E398" s="96">
        <f>C398*D398</f>
        <v>172000</v>
      </c>
      <c r="F398" s="122"/>
      <c r="I398" s="164"/>
      <c r="J398" s="164"/>
    </row>
    <row r="399" spans="1:10" ht="15" customHeight="1" x14ac:dyDescent="0.25">
      <c r="A399" s="63" t="s">
        <v>154</v>
      </c>
      <c r="B399" s="97" t="s">
        <v>5</v>
      </c>
      <c r="C399" s="97">
        <v>10.75</v>
      </c>
      <c r="D399" s="98"/>
      <c r="E399" s="98"/>
      <c r="F399" s="122"/>
      <c r="G399" s="79"/>
      <c r="I399" s="164"/>
      <c r="J399" s="164"/>
    </row>
    <row r="400" spans="1:10" ht="15" customHeight="1" x14ac:dyDescent="0.25">
      <c r="A400" s="63" t="s">
        <v>159</v>
      </c>
      <c r="B400" s="97" t="s">
        <v>59</v>
      </c>
      <c r="C400" s="175">
        <f>IFERROR(IF(C384&lt;=C383,E382-(C385/(100*C383)*C384)*E382,E382-E385),0)</f>
        <v>172000</v>
      </c>
      <c r="D400" s="98"/>
      <c r="E400" s="98"/>
      <c r="F400" s="122"/>
      <c r="I400" s="164"/>
      <c r="J400" s="164"/>
    </row>
    <row r="401" spans="1:10" ht="15" customHeight="1" x14ac:dyDescent="0.25">
      <c r="A401" s="63" t="s">
        <v>160</v>
      </c>
      <c r="B401" s="97" t="s">
        <v>59</v>
      </c>
      <c r="C401" s="98">
        <f>IFERROR(IF(C384&gt;=C383,C400,((((C400)-(E382-E385))*(((C383-C384)+1)/(2*(C383-C384))))+(E382-E385))),0)</f>
        <v>148862.56</v>
      </c>
      <c r="D401" s="98"/>
      <c r="E401" s="98"/>
      <c r="F401" s="122"/>
      <c r="I401" s="164"/>
      <c r="J401" s="164"/>
    </row>
    <row r="402" spans="1:10" ht="15" customHeight="1" x14ac:dyDescent="0.25">
      <c r="A402" s="107" t="s">
        <v>161</v>
      </c>
      <c r="B402" s="168" t="s">
        <v>59</v>
      </c>
      <c r="C402" s="168"/>
      <c r="D402" s="108">
        <f>C399*C401/12/100</f>
        <v>1333.5604333333333</v>
      </c>
      <c r="E402" s="108">
        <f>D402</f>
        <v>1333.5604333333333</v>
      </c>
      <c r="F402" s="122"/>
      <c r="I402" s="164"/>
      <c r="J402" s="164"/>
    </row>
    <row r="403" spans="1:10" ht="15" customHeight="1" x14ac:dyDescent="0.25">
      <c r="A403" s="100" t="s">
        <v>150</v>
      </c>
      <c r="B403" s="101"/>
      <c r="C403" s="101"/>
      <c r="D403" s="102"/>
      <c r="E403" s="103">
        <f>E397+E402</f>
        <v>3969.6682666666666</v>
      </c>
      <c r="F403" s="122"/>
      <c r="I403" s="164"/>
      <c r="J403" s="164"/>
    </row>
    <row r="404" spans="1:10" ht="15" customHeight="1" x14ac:dyDescent="0.25">
      <c r="A404" s="107" t="s">
        <v>151</v>
      </c>
      <c r="B404" s="168" t="s">
        <v>115</v>
      </c>
      <c r="C404" s="155">
        <f>C388</f>
        <v>10</v>
      </c>
      <c r="D404" s="108">
        <f>E403</f>
        <v>3969.6682666666666</v>
      </c>
      <c r="E404" s="103">
        <f>C404*D404</f>
        <v>39696.682666666668</v>
      </c>
      <c r="F404" s="122"/>
      <c r="I404" s="164"/>
      <c r="J404" s="164"/>
    </row>
    <row r="405" spans="1:10" ht="15" customHeight="1" x14ac:dyDescent="0.25">
      <c r="C405" s="90"/>
      <c r="D405" s="116" t="s">
        <v>67</v>
      </c>
      <c r="E405" s="47">
        <f>$B$67</f>
        <v>1</v>
      </c>
      <c r="F405" s="93">
        <f>E404*E405</f>
        <v>39696.682666666668</v>
      </c>
      <c r="I405" s="164"/>
      <c r="J405" s="164"/>
    </row>
    <row r="406" spans="1:10" ht="11.25" customHeight="1" x14ac:dyDescent="0.25">
      <c r="I406" s="164"/>
      <c r="J406" s="164"/>
    </row>
    <row r="407" spans="1:10" ht="16.149999999999999" customHeight="1" x14ac:dyDescent="0.25">
      <c r="A407" s="176" t="s">
        <v>162</v>
      </c>
      <c r="I407" s="164"/>
      <c r="J407" s="164"/>
    </row>
    <row r="408" spans="1:10" ht="15" customHeight="1" x14ac:dyDescent="0.25">
      <c r="A408" s="117" t="s">
        <v>48</v>
      </c>
      <c r="B408" s="118" t="s">
        <v>49</v>
      </c>
      <c r="C408" s="118" t="s">
        <v>28</v>
      </c>
      <c r="D408" s="137" t="s">
        <v>50</v>
      </c>
      <c r="E408" s="137" t="s">
        <v>51</v>
      </c>
      <c r="F408" s="126" t="s">
        <v>52</v>
      </c>
      <c r="I408" s="164"/>
      <c r="J408" s="164"/>
    </row>
    <row r="409" spans="1:10" ht="15" customHeight="1" x14ac:dyDescent="0.25">
      <c r="A409" s="94" t="s">
        <v>163</v>
      </c>
      <c r="B409" s="95" t="s">
        <v>115</v>
      </c>
      <c r="C409" s="96">
        <f>C404</f>
        <v>10</v>
      </c>
      <c r="D409" s="96">
        <f>0.01*($E$377)</f>
        <v>3400</v>
      </c>
      <c r="E409" s="96">
        <f>C409*D409</f>
        <v>34000</v>
      </c>
      <c r="I409" s="164"/>
      <c r="J409" s="164"/>
    </row>
    <row r="410" spans="1:10" ht="15" customHeight="1" x14ac:dyDescent="0.25">
      <c r="A410" s="63" t="s">
        <v>164</v>
      </c>
      <c r="B410" s="97" t="s">
        <v>115</v>
      </c>
      <c r="C410" s="96">
        <f>C404</f>
        <v>10</v>
      </c>
      <c r="D410" s="98">
        <v>66.7</v>
      </c>
      <c r="E410" s="98">
        <f>C410*D410</f>
        <v>667</v>
      </c>
      <c r="I410" s="164"/>
      <c r="J410" s="164"/>
    </row>
    <row r="411" spans="1:10" ht="15" customHeight="1" x14ac:dyDescent="0.25">
      <c r="A411" s="63" t="s">
        <v>165</v>
      </c>
      <c r="B411" s="97" t="s">
        <v>115</v>
      </c>
      <c r="C411" s="96">
        <f>C404</f>
        <v>10</v>
      </c>
      <c r="D411" s="98">
        <v>3716.75</v>
      </c>
      <c r="E411" s="98">
        <f>C411*D411</f>
        <v>37167.5</v>
      </c>
      <c r="F411" s="102"/>
      <c r="I411" s="164"/>
      <c r="J411" s="164"/>
    </row>
    <row r="412" spans="1:10" ht="15" customHeight="1" x14ac:dyDescent="0.25">
      <c r="A412" s="107" t="s">
        <v>166</v>
      </c>
      <c r="B412" s="168" t="s">
        <v>54</v>
      </c>
      <c r="C412" s="168">
        <v>12</v>
      </c>
      <c r="D412" s="108">
        <f>SUM(E409:E411)</f>
        <v>71834.5</v>
      </c>
      <c r="E412" s="108">
        <f>D412/C412</f>
        <v>5986.208333333333</v>
      </c>
      <c r="I412" s="164"/>
      <c r="J412" s="164"/>
    </row>
    <row r="413" spans="1:10" ht="15" customHeight="1" x14ac:dyDescent="0.25">
      <c r="D413" s="116" t="s">
        <v>67</v>
      </c>
      <c r="E413" s="105">
        <f>$B$67</f>
        <v>1</v>
      </c>
      <c r="F413" s="93">
        <f>E412*E413</f>
        <v>5986.208333333333</v>
      </c>
      <c r="I413" s="164"/>
      <c r="J413" s="164"/>
    </row>
    <row r="414" spans="1:10" ht="11.25" customHeight="1" x14ac:dyDescent="0.25">
      <c r="I414" s="164"/>
      <c r="J414" s="164"/>
    </row>
    <row r="415" spans="1:10" x14ac:dyDescent="0.25">
      <c r="A415" s="176" t="s">
        <v>167</v>
      </c>
      <c r="B415" s="177"/>
      <c r="I415" s="164"/>
      <c r="J415" s="164"/>
    </row>
    <row r="416" spans="1:10" ht="16.149999999999999" customHeight="1" x14ac:dyDescent="0.25">
      <c r="A416" s="178" t="s">
        <v>168</v>
      </c>
      <c r="B416" s="179">
        <v>36490</v>
      </c>
      <c r="G416" s="79"/>
      <c r="I416" s="164"/>
      <c r="J416" s="164"/>
    </row>
    <row r="417" spans="1:10" x14ac:dyDescent="0.25">
      <c r="B417" s="177"/>
      <c r="I417" s="164"/>
      <c r="J417" s="164"/>
    </row>
    <row r="418" spans="1:10" ht="15" customHeight="1" x14ac:dyDescent="0.25">
      <c r="A418" s="71" t="s">
        <v>48</v>
      </c>
      <c r="B418" s="72" t="s">
        <v>49</v>
      </c>
      <c r="C418" s="72" t="s">
        <v>169</v>
      </c>
      <c r="D418" s="73" t="s">
        <v>50</v>
      </c>
      <c r="E418" s="73" t="s">
        <v>51</v>
      </c>
      <c r="F418" s="74" t="s">
        <v>52</v>
      </c>
      <c r="I418" s="164"/>
      <c r="J418" s="164"/>
    </row>
    <row r="419" spans="1:10" ht="15" customHeight="1" x14ac:dyDescent="0.25">
      <c r="A419" s="94" t="s">
        <v>170</v>
      </c>
      <c r="B419" s="95" t="s">
        <v>171</v>
      </c>
      <c r="C419" s="180">
        <v>2.5</v>
      </c>
      <c r="D419" s="181">
        <v>6.7389999999999999</v>
      </c>
      <c r="E419" s="96"/>
      <c r="G419" s="79"/>
      <c r="I419" s="164"/>
      <c r="J419" s="164"/>
    </row>
    <row r="420" spans="1:10" ht="15" customHeight="1" x14ac:dyDescent="0.25">
      <c r="A420" s="63" t="s">
        <v>172</v>
      </c>
      <c r="B420" s="97" t="s">
        <v>173</v>
      </c>
      <c r="C420" s="182">
        <v>36490.04</v>
      </c>
      <c r="D420" s="183">
        <f>IFERROR(+D419/C419,"-")</f>
        <v>2.6955999999999998</v>
      </c>
      <c r="E420" s="98">
        <f>IFERROR(C420*D420,0)</f>
        <v>98362.551823999995</v>
      </c>
      <c r="I420" s="164"/>
      <c r="J420" s="164"/>
    </row>
    <row r="421" spans="1:10" ht="15" customHeight="1" x14ac:dyDescent="0.25">
      <c r="A421" s="63" t="s">
        <v>174</v>
      </c>
      <c r="B421" s="97" t="s">
        <v>175</v>
      </c>
      <c r="C421" s="97">
        <v>2.5</v>
      </c>
      <c r="D421" s="98">
        <v>29.57</v>
      </c>
      <c r="E421" s="98"/>
      <c r="I421" s="164"/>
      <c r="J421" s="164"/>
    </row>
    <row r="422" spans="1:10" ht="15" customHeight="1" x14ac:dyDescent="0.25">
      <c r="A422" s="63" t="s">
        <v>176</v>
      </c>
      <c r="B422" s="97" t="s">
        <v>173</v>
      </c>
      <c r="C422" s="184">
        <f>C420</f>
        <v>36490.04</v>
      </c>
      <c r="D422" s="185">
        <f>+C421*D421/1000</f>
        <v>7.3924999999999991E-2</v>
      </c>
      <c r="E422" s="98">
        <f>C422*D422</f>
        <v>2697.5262069999999</v>
      </c>
      <c r="I422" s="164"/>
      <c r="J422" s="164"/>
    </row>
    <row r="423" spans="1:10" ht="15" customHeight="1" x14ac:dyDescent="0.25">
      <c r="A423" s="63" t="s">
        <v>177</v>
      </c>
      <c r="B423" s="97" t="s">
        <v>175</v>
      </c>
      <c r="C423" s="97">
        <v>0.85</v>
      </c>
      <c r="D423" s="98">
        <v>36.630000000000003</v>
      </c>
      <c r="E423" s="98"/>
      <c r="I423" s="164"/>
      <c r="J423" s="164"/>
    </row>
    <row r="424" spans="1:10" ht="15" customHeight="1" x14ac:dyDescent="0.25">
      <c r="A424" s="63" t="s">
        <v>178</v>
      </c>
      <c r="B424" s="97" t="s">
        <v>173</v>
      </c>
      <c r="C424" s="182">
        <f>C420</f>
        <v>36490.04</v>
      </c>
      <c r="D424" s="185">
        <f>+C423*D423/1000</f>
        <v>3.11355E-2</v>
      </c>
      <c r="E424" s="98">
        <f>C424*D424</f>
        <v>1136.1356404200001</v>
      </c>
      <c r="I424" s="164"/>
      <c r="J424" s="164"/>
    </row>
    <row r="425" spans="1:10" ht="15" customHeight="1" x14ac:dyDescent="0.25">
      <c r="A425" s="63" t="s">
        <v>179</v>
      </c>
      <c r="B425" s="97" t="s">
        <v>175</v>
      </c>
      <c r="C425" s="97">
        <v>5</v>
      </c>
      <c r="D425" s="98">
        <v>21.9</v>
      </c>
      <c r="E425" s="98"/>
      <c r="I425" s="164"/>
      <c r="J425" s="164"/>
    </row>
    <row r="426" spans="1:10" ht="15" customHeight="1" x14ac:dyDescent="0.25">
      <c r="A426" s="63" t="s">
        <v>180</v>
      </c>
      <c r="B426" s="97" t="s">
        <v>173</v>
      </c>
      <c r="C426" s="182">
        <f>C420</f>
        <v>36490.04</v>
      </c>
      <c r="D426" s="185">
        <f>+C425*D425/1000</f>
        <v>0.1095</v>
      </c>
      <c r="E426" s="98">
        <f>C426*D426</f>
        <v>3995.6593800000001</v>
      </c>
      <c r="I426" s="164"/>
      <c r="J426" s="164"/>
    </row>
    <row r="427" spans="1:10" ht="15" customHeight="1" x14ac:dyDescent="0.25">
      <c r="A427" s="63" t="s">
        <v>181</v>
      </c>
      <c r="B427" s="97" t="s">
        <v>182</v>
      </c>
      <c r="C427" s="186">
        <v>2</v>
      </c>
      <c r="D427" s="98">
        <v>10.66</v>
      </c>
      <c r="E427" s="98"/>
      <c r="I427" s="164"/>
      <c r="J427" s="164"/>
    </row>
    <row r="428" spans="1:10" ht="15" customHeight="1" x14ac:dyDescent="0.25">
      <c r="A428" s="63" t="s">
        <v>183</v>
      </c>
      <c r="B428" s="97" t="s">
        <v>173</v>
      </c>
      <c r="C428" s="182">
        <f>C420</f>
        <v>36490.04</v>
      </c>
      <c r="D428" s="185">
        <f>+C427*D427/1000</f>
        <v>2.1319999999999999E-2</v>
      </c>
      <c r="E428" s="98">
        <f>C428*D428</f>
        <v>777.9676528</v>
      </c>
      <c r="I428" s="164"/>
      <c r="J428" s="164"/>
    </row>
    <row r="429" spans="1:10" ht="15" customHeight="1" x14ac:dyDescent="0.25">
      <c r="A429" s="107" t="s">
        <v>184</v>
      </c>
      <c r="B429" s="168" t="s">
        <v>185</v>
      </c>
      <c r="C429" s="187"/>
      <c r="D429" s="188">
        <f>IFERROR(D420+D422+D424+D426+D428,0)</f>
        <v>2.9314804999999997</v>
      </c>
      <c r="E429" s="98"/>
      <c r="I429" s="164"/>
      <c r="J429" s="164"/>
    </row>
    <row r="430" spans="1:10" ht="15" customHeight="1" x14ac:dyDescent="0.25">
      <c r="F430" s="93">
        <f>SUM(E419:E428)</f>
        <v>106969.84070422</v>
      </c>
      <c r="I430" s="164"/>
      <c r="J430" s="164"/>
    </row>
    <row r="431" spans="1:10" ht="11.25" customHeight="1" x14ac:dyDescent="0.25">
      <c r="I431" s="164"/>
      <c r="J431" s="164"/>
    </row>
    <row r="432" spans="1:10" ht="16.149999999999999" customHeight="1" x14ac:dyDescent="0.25">
      <c r="A432" s="176" t="s">
        <v>186</v>
      </c>
      <c r="I432" s="164"/>
      <c r="J432" s="164"/>
    </row>
    <row r="433" spans="1:10" ht="15" customHeight="1" x14ac:dyDescent="0.25">
      <c r="A433" s="71" t="s">
        <v>48</v>
      </c>
      <c r="B433" s="72" t="s">
        <v>49</v>
      </c>
      <c r="C433" s="72" t="s">
        <v>28</v>
      </c>
      <c r="D433" s="73" t="s">
        <v>50</v>
      </c>
      <c r="E433" s="73" t="s">
        <v>51</v>
      </c>
      <c r="F433" s="74" t="s">
        <v>52</v>
      </c>
      <c r="I433" s="164"/>
      <c r="J433" s="164"/>
    </row>
    <row r="434" spans="1:10" ht="15" customHeight="1" x14ac:dyDescent="0.25">
      <c r="A434" s="94" t="s">
        <v>187</v>
      </c>
      <c r="B434" s="95" t="s">
        <v>185</v>
      </c>
      <c r="C434" s="189">
        <f>C420</f>
        <v>36490.04</v>
      </c>
      <c r="D434" s="96">
        <v>0.74</v>
      </c>
      <c r="E434" s="96">
        <f>C434*D434</f>
        <v>27002.6296</v>
      </c>
      <c r="I434" s="164"/>
      <c r="J434" s="164"/>
    </row>
    <row r="435" spans="1:10" ht="15" customHeight="1" x14ac:dyDescent="0.25">
      <c r="F435" s="160">
        <f>E434</f>
        <v>27002.6296</v>
      </c>
      <c r="I435" s="164"/>
      <c r="J435" s="164"/>
    </row>
    <row r="436" spans="1:10" ht="11.25" customHeight="1" x14ac:dyDescent="0.25">
      <c r="I436" s="164"/>
      <c r="J436" s="164"/>
    </row>
    <row r="437" spans="1:10" ht="11.25" customHeight="1" x14ac:dyDescent="0.25">
      <c r="I437" s="164"/>
      <c r="J437" s="164"/>
    </row>
    <row r="438" spans="1:10" ht="16.149999999999999" customHeight="1" x14ac:dyDescent="0.25">
      <c r="A438" s="176" t="s">
        <v>188</v>
      </c>
      <c r="I438" s="164"/>
      <c r="J438" s="164"/>
    </row>
    <row r="439" spans="1:10" ht="15" customHeight="1" x14ac:dyDescent="0.25">
      <c r="A439" s="71" t="s">
        <v>48</v>
      </c>
      <c r="B439" s="72" t="s">
        <v>49</v>
      </c>
      <c r="C439" s="72" t="s">
        <v>28</v>
      </c>
      <c r="D439" s="73" t="s">
        <v>50</v>
      </c>
      <c r="E439" s="73" t="s">
        <v>51</v>
      </c>
      <c r="F439" s="74" t="s">
        <v>52</v>
      </c>
      <c r="I439" s="164"/>
      <c r="J439" s="164"/>
    </row>
    <row r="440" spans="1:10" ht="15" customHeight="1" x14ac:dyDescent="0.25">
      <c r="A440" s="94" t="s">
        <v>189</v>
      </c>
      <c r="B440" s="95" t="s">
        <v>115</v>
      </c>
      <c r="C440" s="95">
        <v>6</v>
      </c>
      <c r="D440" s="96">
        <v>2604.5100000000002</v>
      </c>
      <c r="E440" s="96">
        <f>C440*D440</f>
        <v>15627.060000000001</v>
      </c>
      <c r="I440" s="164"/>
      <c r="J440" s="164"/>
    </row>
    <row r="441" spans="1:10" ht="15" customHeight="1" x14ac:dyDescent="0.25">
      <c r="A441" s="94" t="s">
        <v>190</v>
      </c>
      <c r="B441" s="95" t="s">
        <v>115</v>
      </c>
      <c r="C441" s="95">
        <v>2</v>
      </c>
      <c r="D441" s="96"/>
      <c r="E441" s="96"/>
      <c r="I441" s="164"/>
      <c r="J441" s="164"/>
    </row>
    <row r="442" spans="1:10" ht="15" customHeight="1" x14ac:dyDescent="0.25">
      <c r="A442" s="94" t="s">
        <v>191</v>
      </c>
      <c r="B442" s="95" t="s">
        <v>115</v>
      </c>
      <c r="C442" s="190">
        <f>C440*C441</f>
        <v>12</v>
      </c>
      <c r="D442" s="96">
        <v>465</v>
      </c>
      <c r="E442" s="96">
        <f>C442*D442</f>
        <v>5580</v>
      </c>
      <c r="I442" s="164"/>
      <c r="J442" s="164"/>
    </row>
    <row r="443" spans="1:10" ht="15" customHeight="1" x14ac:dyDescent="0.25">
      <c r="A443" s="63" t="s">
        <v>192</v>
      </c>
      <c r="B443" s="97" t="s">
        <v>193</v>
      </c>
      <c r="C443" s="97">
        <v>70000</v>
      </c>
      <c r="D443" s="98">
        <f>E440+E442</f>
        <v>21207.06</v>
      </c>
      <c r="E443" s="98">
        <f>IFERROR(D443/C443,"-")</f>
        <v>0.30295800000000001</v>
      </c>
      <c r="I443" s="164"/>
      <c r="J443" s="164"/>
    </row>
    <row r="444" spans="1:10" ht="15" customHeight="1" x14ac:dyDescent="0.25">
      <c r="A444" s="63" t="s">
        <v>194</v>
      </c>
      <c r="B444" s="97" t="s">
        <v>173</v>
      </c>
      <c r="C444" s="88">
        <f>B416</f>
        <v>36490</v>
      </c>
      <c r="D444" s="98">
        <f>E443</f>
        <v>0.30295800000000001</v>
      </c>
      <c r="E444" s="98">
        <f>IFERROR(C444*D444,0)</f>
        <v>11054.93742</v>
      </c>
      <c r="I444" s="164"/>
      <c r="J444" s="164"/>
    </row>
    <row r="445" spans="1:10" ht="15" customHeight="1" x14ac:dyDescent="0.25">
      <c r="F445" s="93">
        <f>E444</f>
        <v>11054.93742</v>
      </c>
      <c r="I445" s="164"/>
      <c r="J445" s="164"/>
    </row>
    <row r="446" spans="1:10" ht="11.25" customHeight="1" x14ac:dyDescent="0.25">
      <c r="I446" s="164"/>
      <c r="J446" s="164"/>
    </row>
    <row r="447" spans="1:10" ht="16.149999999999999" customHeight="1" x14ac:dyDescent="0.25">
      <c r="A447" s="149" t="s">
        <v>18</v>
      </c>
      <c r="I447" s="164"/>
      <c r="J447" s="164"/>
    </row>
    <row r="448" spans="1:10" s="8" customFormat="1" ht="11.25" customHeight="1" x14ac:dyDescent="0.25">
      <c r="G448" s="9"/>
      <c r="I448" s="164"/>
      <c r="J448" s="164"/>
    </row>
    <row r="449" spans="1:10" ht="16.149999999999999" customHeight="1" x14ac:dyDescent="0.25">
      <c r="A449" s="176" t="s">
        <v>19</v>
      </c>
      <c r="I449" s="164"/>
      <c r="J449" s="164"/>
    </row>
    <row r="450" spans="1:10" ht="15" customHeight="1" x14ac:dyDescent="0.25">
      <c r="A450" s="71" t="s">
        <v>48</v>
      </c>
      <c r="B450" s="131" t="s">
        <v>49</v>
      </c>
      <c r="C450" s="131" t="s">
        <v>28</v>
      </c>
      <c r="D450" s="132" t="s">
        <v>50</v>
      </c>
      <c r="E450" s="132" t="s">
        <v>51</v>
      </c>
      <c r="F450" s="74" t="s">
        <v>52</v>
      </c>
      <c r="I450" s="164"/>
      <c r="J450" s="164"/>
    </row>
    <row r="451" spans="1:10" ht="15" customHeight="1" x14ac:dyDescent="0.25">
      <c r="A451" s="94" t="s">
        <v>139</v>
      </c>
      <c r="B451" s="97" t="s">
        <v>49</v>
      </c>
      <c r="C451" s="97">
        <v>1</v>
      </c>
      <c r="D451" s="47">
        <v>64783</v>
      </c>
      <c r="E451" s="47">
        <f>C451*D451</f>
        <v>64783</v>
      </c>
      <c r="I451" s="164"/>
      <c r="J451" s="164"/>
    </row>
    <row r="452" spans="1:10" ht="15" customHeight="1" x14ac:dyDescent="0.25">
      <c r="A452" s="63" t="s">
        <v>140</v>
      </c>
      <c r="B452" s="97" t="s">
        <v>141</v>
      </c>
      <c r="C452" s="97">
        <v>10</v>
      </c>
      <c r="D452" s="47"/>
      <c r="E452" s="47"/>
      <c r="I452" s="164"/>
      <c r="J452" s="164"/>
    </row>
    <row r="453" spans="1:10" ht="15" customHeight="1" x14ac:dyDescent="0.25">
      <c r="A453" s="63" t="s">
        <v>142</v>
      </c>
      <c r="B453" s="97" t="s">
        <v>141</v>
      </c>
      <c r="C453" s="97">
        <v>0</v>
      </c>
      <c r="D453" s="47"/>
      <c r="E453" s="47"/>
      <c r="I453" s="164"/>
      <c r="J453" s="164"/>
    </row>
    <row r="454" spans="1:10" ht="15" customHeight="1" x14ac:dyDescent="0.25">
      <c r="A454" s="63" t="s">
        <v>143</v>
      </c>
      <c r="B454" s="97" t="s">
        <v>5</v>
      </c>
      <c r="C454" s="97">
        <v>65.180000000000007</v>
      </c>
      <c r="D454" s="47">
        <f>E451</f>
        <v>64783</v>
      </c>
      <c r="E454" s="47">
        <f>C454*D454/100</f>
        <v>42225.559400000006</v>
      </c>
      <c r="I454" s="164"/>
      <c r="J454" s="164"/>
    </row>
    <row r="455" spans="1:10" ht="15" customHeight="1" x14ac:dyDescent="0.25">
      <c r="A455" s="100" t="s">
        <v>144</v>
      </c>
      <c r="B455" s="97" t="s">
        <v>54</v>
      </c>
      <c r="C455" s="97">
        <f>C452*12</f>
        <v>120</v>
      </c>
      <c r="D455" s="128">
        <f>IF(C453&lt;=C452,E454,0)</f>
        <v>42225.559400000006</v>
      </c>
      <c r="E455" s="47">
        <f>IFERROR(D455/C455,0)</f>
        <v>351.87966166666672</v>
      </c>
      <c r="I455" s="164"/>
      <c r="J455" s="164"/>
    </row>
    <row r="456" spans="1:10" ht="15" customHeight="1" x14ac:dyDescent="0.25">
      <c r="A456" s="63" t="s">
        <v>195</v>
      </c>
      <c r="B456" s="63"/>
      <c r="C456" s="63"/>
      <c r="D456" s="47"/>
      <c r="E456" s="128">
        <f>E455</f>
        <v>351.87966166666672</v>
      </c>
      <c r="I456" s="164"/>
      <c r="J456" s="164"/>
    </row>
    <row r="457" spans="1:10" ht="15" customHeight="1" x14ac:dyDescent="0.25">
      <c r="A457" s="63" t="s">
        <v>196</v>
      </c>
      <c r="B457" s="97" t="s">
        <v>115</v>
      </c>
      <c r="C457" s="97">
        <v>2</v>
      </c>
      <c r="D457" s="47">
        <f>E456</f>
        <v>351.87966166666672</v>
      </c>
      <c r="E457" s="128">
        <f>C457*D457</f>
        <v>703.75932333333344</v>
      </c>
      <c r="G457" s="8"/>
    </row>
    <row r="458" spans="1:10" s="8" customFormat="1" ht="15" customHeight="1" x14ac:dyDescent="0.25">
      <c r="D458" s="47" t="s">
        <v>197</v>
      </c>
      <c r="E458" s="105">
        <v>1</v>
      </c>
      <c r="F458" s="129">
        <f>E457*E458</f>
        <v>703.75932333333344</v>
      </c>
    </row>
    <row r="459" spans="1:10" ht="11.25" customHeight="1" x14ac:dyDescent="0.25">
      <c r="G459" s="8"/>
    </row>
    <row r="460" spans="1:10" ht="16.149999999999999" customHeight="1" x14ac:dyDescent="0.25">
      <c r="A460" s="176" t="s">
        <v>198</v>
      </c>
      <c r="G460" s="8"/>
    </row>
    <row r="461" spans="1:10" s="8" customFormat="1" ht="15" customHeight="1" x14ac:dyDescent="0.25">
      <c r="A461" s="191" t="s">
        <v>48</v>
      </c>
      <c r="B461" s="191" t="s">
        <v>49</v>
      </c>
      <c r="C461" s="191" t="s">
        <v>28</v>
      </c>
      <c r="D461" s="192" t="s">
        <v>50</v>
      </c>
      <c r="E461" s="192" t="s">
        <v>51</v>
      </c>
      <c r="F461" s="192" t="s">
        <v>52</v>
      </c>
    </row>
    <row r="462" spans="1:10" ht="15" customHeight="1" x14ac:dyDescent="0.25">
      <c r="A462" s="94" t="s">
        <v>153</v>
      </c>
      <c r="B462" s="95" t="s">
        <v>115</v>
      </c>
      <c r="C462" s="95">
        <v>1</v>
      </c>
      <c r="D462" s="193">
        <f>+D451</f>
        <v>64783</v>
      </c>
      <c r="E462" s="193">
        <f>C462*D462</f>
        <v>64783</v>
      </c>
      <c r="G462" s="8"/>
    </row>
    <row r="463" spans="1:10" ht="15" customHeight="1" x14ac:dyDescent="0.25">
      <c r="A463" s="63" t="s">
        <v>154</v>
      </c>
      <c r="B463" s="97" t="s">
        <v>5</v>
      </c>
      <c r="C463" s="97">
        <v>5.15</v>
      </c>
      <c r="D463" s="47"/>
      <c r="E463" s="47"/>
      <c r="G463" s="194"/>
    </row>
    <row r="464" spans="1:10" ht="15" customHeight="1" x14ac:dyDescent="0.25">
      <c r="A464" s="63" t="s">
        <v>155</v>
      </c>
      <c r="B464" s="97" t="s">
        <v>59</v>
      </c>
      <c r="C464" s="9">
        <f>IFERROR(IF(C453&lt;=C452,E451-(C454/(100*C452)*C453)*E451,E451-E454),0)</f>
        <v>64783</v>
      </c>
      <c r="D464" s="47"/>
      <c r="E464" s="47"/>
      <c r="G464" s="8"/>
    </row>
    <row r="465" spans="1:7" ht="15" customHeight="1" x14ac:dyDescent="0.25">
      <c r="A465" s="63" t="s">
        <v>156</v>
      </c>
      <c r="B465" s="97" t="s">
        <v>59</v>
      </c>
      <c r="C465" s="47">
        <f>IFERROR(IF(E453&gt;=E452,C464,((((C464)-(E451-E454))*(((C452-C453)+1)/(2*(C452-C453))))+(E451-E454))),0)</f>
        <v>64783</v>
      </c>
      <c r="D465" s="47"/>
      <c r="E465" s="47"/>
      <c r="G465" s="8"/>
    </row>
    <row r="466" spans="1:7" ht="15" customHeight="1" x14ac:dyDescent="0.25">
      <c r="A466" s="100" t="s">
        <v>157</v>
      </c>
      <c r="B466" s="113" t="s">
        <v>59</v>
      </c>
      <c r="C466" s="112"/>
      <c r="D466" s="195">
        <f>C463*C465/12/100</f>
        <v>278.02704166666666</v>
      </c>
      <c r="E466" s="195">
        <f>D466</f>
        <v>278.02704166666666</v>
      </c>
    </row>
    <row r="467" spans="1:7" ht="15" customHeight="1" x14ac:dyDescent="0.25">
      <c r="A467" s="63" t="s">
        <v>195</v>
      </c>
      <c r="B467" s="63"/>
      <c r="C467" s="63"/>
      <c r="D467" s="47"/>
      <c r="E467" s="128">
        <f>E466</f>
        <v>278.02704166666666</v>
      </c>
      <c r="G467" s="8"/>
    </row>
    <row r="468" spans="1:7" ht="15" customHeight="1" x14ac:dyDescent="0.25">
      <c r="A468" s="63" t="s">
        <v>196</v>
      </c>
      <c r="B468" s="97" t="s">
        <v>115</v>
      </c>
      <c r="C468" s="97">
        <v>2</v>
      </c>
      <c r="D468" s="47">
        <f>E467</f>
        <v>278.02704166666666</v>
      </c>
      <c r="E468" s="128">
        <f>C468*D468</f>
        <v>556.05408333333332</v>
      </c>
      <c r="G468" s="8"/>
    </row>
    <row r="469" spans="1:7" s="8" customFormat="1" ht="15" customHeight="1" x14ac:dyDescent="0.25">
      <c r="B469" s="90"/>
      <c r="C469" s="90"/>
      <c r="D469" s="47" t="s">
        <v>197</v>
      </c>
      <c r="E469" s="196">
        <v>1</v>
      </c>
      <c r="F469" s="129">
        <f>E468*E469</f>
        <v>556.05408333333332</v>
      </c>
    </row>
    <row r="470" spans="1:7" ht="11.25" customHeight="1" x14ac:dyDescent="0.25">
      <c r="B470" s="90"/>
      <c r="C470" s="90"/>
      <c r="E470" s="27"/>
      <c r="F470" s="27"/>
      <c r="G470" s="8"/>
    </row>
    <row r="471" spans="1:7" ht="16.5" customHeight="1" x14ac:dyDescent="0.25">
      <c r="A471" s="176" t="s">
        <v>21</v>
      </c>
      <c r="G471" s="8"/>
    </row>
    <row r="472" spans="1:7" s="8" customFormat="1" ht="15" customHeight="1" x14ac:dyDescent="0.25">
      <c r="A472" s="191" t="s">
        <v>48</v>
      </c>
      <c r="B472" s="191" t="s">
        <v>49</v>
      </c>
      <c r="C472" s="191" t="s">
        <v>28</v>
      </c>
      <c r="D472" s="192" t="s">
        <v>50</v>
      </c>
      <c r="E472" s="192" t="s">
        <v>51</v>
      </c>
      <c r="F472" s="192" t="s">
        <v>52</v>
      </c>
    </row>
    <row r="473" spans="1:7" ht="15" customHeight="1" x14ac:dyDescent="0.25">
      <c r="A473" s="63" t="s">
        <v>163</v>
      </c>
      <c r="B473" s="97" t="s">
        <v>115</v>
      </c>
      <c r="C473" s="97">
        <v>2</v>
      </c>
      <c r="D473" s="47">
        <f>0.03*($E$451)</f>
        <v>1943.49</v>
      </c>
      <c r="E473" s="47">
        <f>C473*D473</f>
        <v>3886.98</v>
      </c>
      <c r="G473" s="8"/>
    </row>
    <row r="474" spans="1:7" ht="15" customHeight="1" x14ac:dyDescent="0.25">
      <c r="A474" s="63" t="s">
        <v>164</v>
      </c>
      <c r="B474" s="97" t="s">
        <v>115</v>
      </c>
      <c r="C474" s="97">
        <v>2</v>
      </c>
      <c r="D474" s="47">
        <v>66.7</v>
      </c>
      <c r="E474" s="47">
        <f>C474*D474</f>
        <v>133.4</v>
      </c>
      <c r="G474" s="8"/>
    </row>
    <row r="475" spans="1:7" ht="15" customHeight="1" x14ac:dyDescent="0.25">
      <c r="A475" s="63" t="s">
        <v>199</v>
      </c>
      <c r="B475" s="97" t="s">
        <v>115</v>
      </c>
      <c r="C475" s="97">
        <v>2</v>
      </c>
      <c r="D475" s="47">
        <v>748.98</v>
      </c>
      <c r="E475" s="47">
        <f>C475*D475</f>
        <v>1497.96</v>
      </c>
      <c r="G475" s="8"/>
    </row>
    <row r="476" spans="1:7" ht="15" customHeight="1" x14ac:dyDescent="0.25">
      <c r="A476" s="107" t="s">
        <v>166</v>
      </c>
      <c r="B476" s="97" t="s">
        <v>54</v>
      </c>
      <c r="C476" s="97">
        <v>12</v>
      </c>
      <c r="D476" s="128">
        <f>SUM(E473:E475)</f>
        <v>5518.34</v>
      </c>
      <c r="E476" s="47">
        <f>D476/C476</f>
        <v>459.86166666666668</v>
      </c>
      <c r="G476" s="8"/>
    </row>
    <row r="477" spans="1:7" s="8" customFormat="1" ht="15" customHeight="1" x14ac:dyDescent="0.25">
      <c r="D477" s="47" t="s">
        <v>197</v>
      </c>
      <c r="E477" s="105">
        <v>1</v>
      </c>
      <c r="F477" s="129">
        <f>E476*E477</f>
        <v>459.86166666666668</v>
      </c>
    </row>
    <row r="478" spans="1:7" ht="11.25" customHeight="1" x14ac:dyDescent="0.25">
      <c r="F478" s="27"/>
      <c r="G478" s="8"/>
    </row>
    <row r="479" spans="1:7" ht="16.149999999999999" customHeight="1" x14ac:dyDescent="0.25">
      <c r="A479" s="197" t="s">
        <v>22</v>
      </c>
      <c r="G479" s="8"/>
    </row>
    <row r="480" spans="1:7" ht="11.25" customHeight="1" x14ac:dyDescent="0.25">
      <c r="G480" s="8"/>
    </row>
    <row r="481" spans="1:7" ht="16.149999999999999" customHeight="1" x14ac:dyDescent="0.25">
      <c r="A481" s="198" t="s">
        <v>200</v>
      </c>
      <c r="B481" s="199">
        <v>5200</v>
      </c>
      <c r="G481" s="8"/>
    </row>
    <row r="482" spans="1:7" ht="11.25" customHeight="1" x14ac:dyDescent="0.25">
      <c r="G482" s="8"/>
    </row>
    <row r="483" spans="1:7" s="8" customFormat="1" ht="15" customHeight="1" x14ac:dyDescent="0.25">
      <c r="A483" s="191" t="s">
        <v>48</v>
      </c>
      <c r="B483" s="191" t="s">
        <v>49</v>
      </c>
      <c r="C483" s="191" t="s">
        <v>169</v>
      </c>
      <c r="D483" s="192" t="s">
        <v>50</v>
      </c>
      <c r="E483" s="192" t="s">
        <v>51</v>
      </c>
      <c r="F483" s="192" t="s">
        <v>52</v>
      </c>
    </row>
    <row r="484" spans="1:7" ht="15" customHeight="1" x14ac:dyDescent="0.25">
      <c r="A484" s="63" t="s">
        <v>201</v>
      </c>
      <c r="B484" s="97" t="s">
        <v>171</v>
      </c>
      <c r="C484" s="97">
        <v>11.5</v>
      </c>
      <c r="D484" s="200">
        <v>7.23</v>
      </c>
      <c r="E484" s="47"/>
      <c r="G484" s="201"/>
    </row>
    <row r="485" spans="1:7" ht="15" customHeight="1" x14ac:dyDescent="0.25">
      <c r="A485" s="63" t="s">
        <v>202</v>
      </c>
      <c r="B485" s="97" t="s">
        <v>173</v>
      </c>
      <c r="C485" s="186">
        <f>B481</f>
        <v>5200</v>
      </c>
      <c r="D485" s="98">
        <f>IFERROR(+D484/C484,"-")</f>
        <v>0.6286956521739131</v>
      </c>
      <c r="E485" s="47">
        <f>IFERROR(C485*D485,0)</f>
        <v>3269.217391304348</v>
      </c>
      <c r="G485" s="8"/>
    </row>
    <row r="486" spans="1:7" ht="15" customHeight="1" x14ac:dyDescent="0.25">
      <c r="A486" s="107" t="s">
        <v>184</v>
      </c>
      <c r="B486" s="168" t="s">
        <v>185</v>
      </c>
      <c r="C486" s="63"/>
      <c r="D486" s="47"/>
      <c r="E486" s="47"/>
      <c r="G486" s="8"/>
    </row>
    <row r="487" spans="1:7" ht="15" customHeight="1" x14ac:dyDescent="0.25">
      <c r="F487" s="129">
        <f>E485</f>
        <v>3269.217391304348</v>
      </c>
      <c r="G487" s="8"/>
    </row>
    <row r="488" spans="1:7" s="8" customFormat="1" ht="11.25" customHeight="1" x14ac:dyDescent="0.25"/>
    <row r="489" spans="1:7" s="8" customFormat="1" ht="11.25" customHeight="1" x14ac:dyDescent="0.25"/>
    <row r="490" spans="1:7" s="8" customFormat="1" ht="16.149999999999999" customHeight="1" x14ac:dyDescent="0.25">
      <c r="A490" s="176" t="s">
        <v>23</v>
      </c>
    </row>
    <row r="491" spans="1:7" s="8" customFormat="1" ht="15" customHeight="1" x14ac:dyDescent="0.25">
      <c r="A491" s="130" t="s">
        <v>48</v>
      </c>
      <c r="B491" s="131" t="s">
        <v>49</v>
      </c>
      <c r="C491" s="131" t="s">
        <v>28</v>
      </c>
      <c r="D491" s="132" t="s">
        <v>50</v>
      </c>
      <c r="E491" s="132" t="s">
        <v>51</v>
      </c>
      <c r="F491" s="202" t="s">
        <v>52</v>
      </c>
    </row>
    <row r="492" spans="1:7" s="8" customFormat="1" ht="15" customHeight="1" x14ac:dyDescent="0.25">
      <c r="A492" s="63" t="s">
        <v>203</v>
      </c>
      <c r="B492" s="97" t="s">
        <v>204</v>
      </c>
      <c r="C492" s="203">
        <f>B481</f>
        <v>5200</v>
      </c>
      <c r="D492" s="47">
        <v>0.35</v>
      </c>
      <c r="E492" s="47">
        <f>C492*D492</f>
        <v>1819.9999999999998</v>
      </c>
      <c r="F492" s="204"/>
    </row>
    <row r="493" spans="1:7" ht="15" customHeight="1" x14ac:dyDescent="0.25">
      <c r="F493" s="129">
        <f>E492</f>
        <v>1819.9999999999998</v>
      </c>
      <c r="G493" s="8"/>
    </row>
    <row r="494" spans="1:7" ht="11.25" customHeight="1" x14ac:dyDescent="0.25">
      <c r="G494" s="8"/>
    </row>
    <row r="495" spans="1:7" ht="11.25" customHeight="1" x14ac:dyDescent="0.25">
      <c r="G495" s="8"/>
    </row>
    <row r="496" spans="1:7" ht="16.149999999999999" customHeight="1" x14ac:dyDescent="0.25">
      <c r="A496" s="176" t="s">
        <v>24</v>
      </c>
      <c r="G496" s="8"/>
    </row>
    <row r="497" spans="1:7" s="8" customFormat="1" ht="15" customHeight="1" x14ac:dyDescent="0.25">
      <c r="A497" s="71" t="s">
        <v>48</v>
      </c>
      <c r="B497" s="72" t="s">
        <v>49</v>
      </c>
      <c r="C497" s="131" t="s">
        <v>28</v>
      </c>
      <c r="D497" s="132" t="s">
        <v>50</v>
      </c>
      <c r="E497" s="132" t="s">
        <v>51</v>
      </c>
      <c r="F497" s="74" t="s">
        <v>52</v>
      </c>
    </row>
    <row r="498" spans="1:7" ht="15" customHeight="1" x14ac:dyDescent="0.25">
      <c r="A498" s="94" t="s">
        <v>205</v>
      </c>
      <c r="B498" s="95" t="s">
        <v>115</v>
      </c>
      <c r="C498" s="97">
        <v>4</v>
      </c>
      <c r="D498" s="47">
        <v>369</v>
      </c>
      <c r="E498" s="47">
        <f>C498*D498</f>
        <v>1476</v>
      </c>
      <c r="G498" s="8"/>
    </row>
    <row r="499" spans="1:7" ht="15.6" customHeight="1" x14ac:dyDescent="0.25">
      <c r="A499" s="94" t="s">
        <v>190</v>
      </c>
      <c r="B499" s="95" t="s">
        <v>115</v>
      </c>
      <c r="C499" s="97">
        <v>2</v>
      </c>
      <c r="D499" s="47"/>
      <c r="E499" s="47"/>
      <c r="G499" s="8"/>
    </row>
    <row r="500" spans="1:7" ht="15" customHeight="1" x14ac:dyDescent="0.25">
      <c r="A500" s="94" t="s">
        <v>191</v>
      </c>
      <c r="B500" s="95" t="s">
        <v>115</v>
      </c>
      <c r="C500" s="97">
        <f>C498*C499</f>
        <v>8</v>
      </c>
      <c r="D500" s="47">
        <v>0</v>
      </c>
      <c r="E500" s="47">
        <f>C500*D500</f>
        <v>0</v>
      </c>
      <c r="G500" s="8"/>
    </row>
    <row r="501" spans="1:7" ht="15" customHeight="1" x14ac:dyDescent="0.25">
      <c r="A501" s="63" t="s">
        <v>192</v>
      </c>
      <c r="B501" s="97" t="s">
        <v>193</v>
      </c>
      <c r="C501" s="186">
        <v>100000</v>
      </c>
      <c r="D501" s="47">
        <f>E498+E500</f>
        <v>1476</v>
      </c>
      <c r="E501" s="47">
        <f>IFERROR(D501/C501,"-")</f>
        <v>1.4760000000000001E-2</v>
      </c>
      <c r="G501" s="8"/>
    </row>
    <row r="502" spans="1:7" ht="15" customHeight="1" x14ac:dyDescent="0.25">
      <c r="A502" s="63" t="s">
        <v>194</v>
      </c>
      <c r="B502" s="97" t="s">
        <v>173</v>
      </c>
      <c r="C502" s="186">
        <f>B481</f>
        <v>5200</v>
      </c>
      <c r="D502" s="47">
        <f>E501</f>
        <v>1.4760000000000001E-2</v>
      </c>
      <c r="E502" s="47">
        <f>IFERROR(C502*D502,0)</f>
        <v>76.75200000000001</v>
      </c>
      <c r="G502" s="8"/>
    </row>
    <row r="503" spans="1:7" ht="15" customHeight="1" x14ac:dyDescent="0.25">
      <c r="B503" s="90"/>
      <c r="F503" s="129">
        <f>E502</f>
        <v>76.75200000000001</v>
      </c>
      <c r="G503" s="8"/>
    </row>
    <row r="504" spans="1:7" ht="11.25" customHeight="1" x14ac:dyDescent="0.25">
      <c r="B504" s="90"/>
      <c r="G504" s="8"/>
    </row>
    <row r="505" spans="1:7" ht="11.25" customHeight="1" x14ac:dyDescent="0.25">
      <c r="G505" s="8"/>
    </row>
    <row r="506" spans="1:7" s="8" customFormat="1" ht="15" customHeight="1" x14ac:dyDescent="0.25">
      <c r="A506" s="143" t="s">
        <v>206</v>
      </c>
      <c r="B506" s="157"/>
      <c r="C506" s="144"/>
      <c r="D506" s="43"/>
      <c r="E506" s="43"/>
      <c r="F506" s="160">
        <f>+SUM(F377:F503)</f>
        <v>226293.54318885764</v>
      </c>
    </row>
    <row r="507" spans="1:7" s="8" customFormat="1" ht="12.75" x14ac:dyDescent="0.25">
      <c r="B507" s="28"/>
      <c r="C507" s="28"/>
      <c r="D507" s="27"/>
      <c r="E507" s="27"/>
      <c r="F507" s="102"/>
    </row>
    <row r="508" spans="1:7" ht="11.25" customHeight="1" x14ac:dyDescent="0.25">
      <c r="G508" s="8"/>
    </row>
    <row r="509" spans="1:7" ht="16.149999999999999" customHeight="1" x14ac:dyDescent="0.25">
      <c r="A509" s="205" t="s">
        <v>207</v>
      </c>
      <c r="G509" s="8"/>
    </row>
    <row r="510" spans="1:7" s="8" customFormat="1" ht="15" customHeight="1" x14ac:dyDescent="0.25">
      <c r="A510" s="71" t="s">
        <v>48</v>
      </c>
      <c r="B510" s="72" t="s">
        <v>49</v>
      </c>
      <c r="C510" s="72" t="s">
        <v>28</v>
      </c>
      <c r="D510" s="73" t="s">
        <v>50</v>
      </c>
      <c r="E510" s="73" t="s">
        <v>51</v>
      </c>
      <c r="F510" s="74" t="s">
        <v>52</v>
      </c>
    </row>
    <row r="511" spans="1:7" s="8" customFormat="1" ht="15" customHeight="1" x14ac:dyDescent="0.25">
      <c r="A511" s="63" t="s">
        <v>208</v>
      </c>
      <c r="B511" s="97" t="s">
        <v>115</v>
      </c>
      <c r="C511" s="206">
        <v>3</v>
      </c>
      <c r="D511" s="193">
        <v>35.9</v>
      </c>
      <c r="E511" s="98">
        <f>C511*D511</f>
        <v>107.69999999999999</v>
      </c>
      <c r="F511" s="122"/>
    </row>
    <row r="512" spans="1:7" s="8" customFormat="1" ht="15" customHeight="1" x14ac:dyDescent="0.25">
      <c r="A512" s="63" t="s">
        <v>209</v>
      </c>
      <c r="B512" s="97" t="s">
        <v>115</v>
      </c>
      <c r="C512" s="206">
        <v>5</v>
      </c>
      <c r="D512" s="193">
        <v>38.619999999999997</v>
      </c>
      <c r="E512" s="98">
        <f>C512*D512</f>
        <v>193.1</v>
      </c>
      <c r="F512" s="122"/>
    </row>
    <row r="513" spans="1:7" s="8" customFormat="1" ht="15" customHeight="1" x14ac:dyDescent="0.25">
      <c r="A513" s="63" t="s">
        <v>210</v>
      </c>
      <c r="B513" s="97" t="s">
        <v>115</v>
      </c>
      <c r="C513" s="206">
        <v>5</v>
      </c>
      <c r="D513" s="193">
        <v>32</v>
      </c>
      <c r="E513" s="98">
        <f>C513*D513</f>
        <v>160</v>
      </c>
      <c r="F513" s="122"/>
    </row>
    <row r="514" spans="1:7" s="8" customFormat="1" ht="15" customHeight="1" x14ac:dyDescent="0.25">
      <c r="A514" s="63" t="s">
        <v>211</v>
      </c>
      <c r="B514" s="97" t="s">
        <v>212</v>
      </c>
      <c r="C514" s="206">
        <v>1</v>
      </c>
      <c r="D514" s="193">
        <v>250</v>
      </c>
      <c r="E514" s="98">
        <f>C514*D514</f>
        <v>250</v>
      </c>
      <c r="F514" s="122"/>
    </row>
    <row r="515" spans="1:7" s="8" customFormat="1" ht="15" customHeight="1" x14ac:dyDescent="0.25">
      <c r="A515" s="63" t="s">
        <v>213</v>
      </c>
      <c r="B515" s="97" t="s">
        <v>212</v>
      </c>
      <c r="C515" s="206">
        <v>1</v>
      </c>
      <c r="D515" s="193">
        <v>30</v>
      </c>
      <c r="E515" s="98">
        <f>C515*D515</f>
        <v>30</v>
      </c>
      <c r="F515" s="122"/>
    </row>
    <row r="516" spans="1:7" s="8" customFormat="1" ht="15" customHeight="1" x14ac:dyDescent="0.25">
      <c r="B516" s="28"/>
      <c r="C516" s="28"/>
      <c r="D516" s="28"/>
      <c r="E516" s="27"/>
      <c r="F516" s="93">
        <f>SUM(E511:E515)</f>
        <v>740.8</v>
      </c>
    </row>
    <row r="517" spans="1:7" ht="11.25" customHeight="1" x14ac:dyDescent="0.25">
      <c r="A517" s="28"/>
      <c r="G517" s="8"/>
    </row>
    <row r="518" spans="1:7" s="8" customFormat="1" ht="16.149999999999999" customHeight="1" x14ac:dyDescent="0.25">
      <c r="A518" s="143" t="s">
        <v>214</v>
      </c>
      <c r="B518" s="144"/>
      <c r="C518" s="144"/>
      <c r="D518" s="66"/>
      <c r="E518" s="145"/>
      <c r="F518" s="160">
        <f>+F516</f>
        <v>740.8</v>
      </c>
    </row>
    <row r="519" spans="1:7" s="8" customFormat="1" ht="11.25" customHeight="1" x14ac:dyDescent="0.25">
      <c r="D519" s="27"/>
      <c r="E519" s="27"/>
      <c r="F519" s="102"/>
    </row>
    <row r="520" spans="1:7" x14ac:dyDescent="0.25">
      <c r="B520" s="28"/>
      <c r="C520" s="28"/>
      <c r="D520" s="27"/>
      <c r="E520" s="27"/>
      <c r="F520" s="102"/>
    </row>
    <row r="521" spans="1:7" ht="16.149999999999999" customHeight="1" x14ac:dyDescent="0.25">
      <c r="A521" s="205" t="s">
        <v>215</v>
      </c>
    </row>
    <row r="522" spans="1:7" ht="15" customHeight="1" x14ac:dyDescent="0.25">
      <c r="A522" s="71" t="s">
        <v>48</v>
      </c>
      <c r="B522" s="72" t="s">
        <v>49</v>
      </c>
      <c r="C522" s="72" t="s">
        <v>28</v>
      </c>
      <c r="D522" s="73" t="s">
        <v>50</v>
      </c>
      <c r="E522" s="73" t="s">
        <v>51</v>
      </c>
      <c r="F522" s="74" t="s">
        <v>52</v>
      </c>
    </row>
    <row r="523" spans="1:7" ht="15" customHeight="1" x14ac:dyDescent="0.25">
      <c r="A523" s="63" t="s">
        <v>216</v>
      </c>
      <c r="B523" s="207" t="s">
        <v>212</v>
      </c>
      <c r="C523" s="155">
        <v>10</v>
      </c>
      <c r="D523" s="98">
        <v>100</v>
      </c>
      <c r="E523" s="98">
        <f>+D523*C523</f>
        <v>1000</v>
      </c>
      <c r="F523" s="122"/>
    </row>
    <row r="524" spans="1:7" ht="15" customHeight="1" x14ac:dyDescent="0.25">
      <c r="A524" s="63" t="s">
        <v>217</v>
      </c>
      <c r="B524" s="207" t="s">
        <v>54</v>
      </c>
      <c r="C524" s="97">
        <v>60</v>
      </c>
      <c r="D524" s="98">
        <f>+E523</f>
        <v>1000</v>
      </c>
      <c r="E524" s="98">
        <f>+D524/C524</f>
        <v>16.666666666666668</v>
      </c>
      <c r="F524" s="122"/>
    </row>
    <row r="525" spans="1:7" ht="15" customHeight="1" x14ac:dyDescent="0.25">
      <c r="A525" s="63" t="s">
        <v>218</v>
      </c>
      <c r="B525" s="97" t="s">
        <v>115</v>
      </c>
      <c r="C525" s="155">
        <f>+C523</f>
        <v>10</v>
      </c>
      <c r="D525" s="98">
        <v>74</v>
      </c>
      <c r="E525" s="98">
        <f>C525*D525</f>
        <v>740</v>
      </c>
      <c r="F525" s="122"/>
    </row>
    <row r="526" spans="1:7" ht="15" customHeight="1" x14ac:dyDescent="0.25">
      <c r="A526" s="63" t="s">
        <v>219</v>
      </c>
      <c r="B526" s="207" t="s">
        <v>54</v>
      </c>
      <c r="C526" s="97">
        <v>1</v>
      </c>
      <c r="D526" s="98">
        <f>+E525</f>
        <v>740</v>
      </c>
      <c r="E526" s="98">
        <f>+D526/C526</f>
        <v>740</v>
      </c>
      <c r="F526" s="122"/>
    </row>
    <row r="527" spans="1:7" ht="15" customHeight="1" x14ac:dyDescent="0.25">
      <c r="B527" s="106"/>
      <c r="C527" s="106"/>
      <c r="D527" s="116" t="s">
        <v>197</v>
      </c>
      <c r="E527" s="105">
        <v>1</v>
      </c>
      <c r="F527" s="208">
        <f>(E524+E526)*E527</f>
        <v>756.66666666666663</v>
      </c>
    </row>
    <row r="528" spans="1:7" s="210" customFormat="1" ht="11.25" customHeight="1" x14ac:dyDescent="0.25">
      <c r="A528" s="106"/>
      <c r="B528" s="8"/>
      <c r="C528" s="8"/>
      <c r="D528" s="9"/>
      <c r="E528" s="9"/>
      <c r="F528" s="9"/>
      <c r="G528" s="209"/>
    </row>
    <row r="529" spans="1:6" ht="15" customHeight="1" x14ac:dyDescent="0.25">
      <c r="A529" s="143" t="s">
        <v>220</v>
      </c>
      <c r="B529" s="211"/>
      <c r="C529" s="144"/>
      <c r="D529" s="43"/>
      <c r="E529" s="145"/>
      <c r="F529" s="160">
        <f>+F527</f>
        <v>756.66666666666663</v>
      </c>
    </row>
    <row r="530" spans="1:6" ht="11.25" customHeight="1" x14ac:dyDescent="0.25"/>
    <row r="531" spans="1:6" ht="17.25" customHeight="1" x14ac:dyDescent="0.25">
      <c r="A531" s="147" t="s">
        <v>221</v>
      </c>
      <c r="B531" s="149"/>
      <c r="C531" s="157"/>
      <c r="D531" s="158"/>
      <c r="E531" s="159"/>
      <c r="F531" s="212">
        <f>+F333+F368+F506+F518+F529</f>
        <v>616811.41968933051</v>
      </c>
    </row>
    <row r="532" spans="1:6" ht="11.25" customHeight="1" x14ac:dyDescent="0.25"/>
    <row r="534" spans="1:6" ht="16.149999999999999" customHeight="1" x14ac:dyDescent="0.25">
      <c r="A534" s="28" t="s">
        <v>222</v>
      </c>
    </row>
    <row r="535" spans="1:6" ht="15" customHeight="1" x14ac:dyDescent="0.25">
      <c r="A535" s="71" t="s">
        <v>48</v>
      </c>
      <c r="B535" s="72" t="s">
        <v>49</v>
      </c>
      <c r="C535" s="72" t="s">
        <v>28</v>
      </c>
      <c r="D535" s="73" t="s">
        <v>50</v>
      </c>
      <c r="E535" s="73" t="s">
        <v>51</v>
      </c>
      <c r="F535" s="74" t="s">
        <v>52</v>
      </c>
    </row>
    <row r="536" spans="1:6" ht="15" customHeight="1" x14ac:dyDescent="0.25">
      <c r="A536" s="94" t="s">
        <v>223</v>
      </c>
      <c r="B536" s="95" t="s">
        <v>5</v>
      </c>
      <c r="C536" s="98">
        <v>27.02</v>
      </c>
      <c r="D536" s="96">
        <f>+F531</f>
        <v>616811.41968933051</v>
      </c>
      <c r="E536" s="96">
        <f>C536*D536/100</f>
        <v>166662.44560005711</v>
      </c>
    </row>
    <row r="537" spans="1:6" ht="15" customHeight="1" x14ac:dyDescent="0.25">
      <c r="F537" s="93">
        <f>+E536</f>
        <v>166662.44560005711</v>
      </c>
    </row>
    <row r="538" spans="1:6" ht="11.25" customHeight="1" x14ac:dyDescent="0.25"/>
    <row r="539" spans="1:6" ht="16.149999999999999" customHeight="1" x14ac:dyDescent="0.25">
      <c r="A539" s="143" t="s">
        <v>224</v>
      </c>
      <c r="B539" s="157"/>
      <c r="C539" s="157"/>
      <c r="D539" s="158"/>
      <c r="E539" s="159"/>
      <c r="F539" s="212">
        <f>F537</f>
        <v>166662.44560005711</v>
      </c>
    </row>
    <row r="540" spans="1:6" x14ac:dyDescent="0.25">
      <c r="B540" s="28"/>
      <c r="C540" s="28"/>
      <c r="D540" s="27"/>
      <c r="E540" s="27"/>
      <c r="F540" s="102"/>
    </row>
    <row r="541" spans="1:6" ht="11.25" customHeight="1" x14ac:dyDescent="0.25">
      <c r="A541" s="28"/>
    </row>
    <row r="542" spans="1:6" ht="24.75" customHeight="1" x14ac:dyDescent="0.25">
      <c r="A542" s="143" t="s">
        <v>225</v>
      </c>
      <c r="B542" s="157"/>
      <c r="C542" s="157"/>
      <c r="D542" s="158"/>
      <c r="E542" s="159"/>
      <c r="F542" s="212">
        <f>F531+F539</f>
        <v>783473.86528938764</v>
      </c>
    </row>
    <row r="543" spans="1:6" ht="12.6" customHeight="1" x14ac:dyDescent="0.25">
      <c r="B543" s="213"/>
      <c r="C543" s="213"/>
      <c r="D543" s="214"/>
      <c r="E543" s="214"/>
      <c r="F543" s="214"/>
    </row>
    <row r="544" spans="1:6" ht="15.75" x14ac:dyDescent="0.25">
      <c r="A544" s="213"/>
      <c r="B544" s="11"/>
      <c r="C544" s="11"/>
      <c r="D544" s="10"/>
      <c r="E544" s="10"/>
    </row>
    <row r="545" spans="1:7" ht="16.149999999999999" customHeight="1" x14ac:dyDescent="0.25">
      <c r="A545" s="215" t="s">
        <v>226</v>
      </c>
      <c r="B545" s="157"/>
      <c r="C545" s="157"/>
      <c r="D545" s="216">
        <v>4214</v>
      </c>
      <c r="E545" s="159" t="s">
        <v>227</v>
      </c>
    </row>
    <row r="547" spans="1:7" ht="25.5" customHeight="1" x14ac:dyDescent="0.25">
      <c r="A547" s="143" t="s">
        <v>228</v>
      </c>
      <c r="B547" s="144"/>
      <c r="C547" s="144"/>
      <c r="D547" s="43"/>
      <c r="E547" s="217" t="s">
        <v>229</v>
      </c>
      <c r="F547" s="218">
        <f>IFERROR(F542/D545,"-")</f>
        <v>185.92165763867766</v>
      </c>
    </row>
    <row r="548" spans="1:7" ht="12.6" customHeight="1" x14ac:dyDescent="0.25">
      <c r="B548" s="28"/>
      <c r="C548" s="28"/>
      <c r="D548" s="27"/>
      <c r="E548" s="27"/>
      <c r="F548" s="27"/>
    </row>
    <row r="549" spans="1:7" s="16" customFormat="1" ht="9.75" customHeight="1" x14ac:dyDescent="0.25">
      <c r="A549" s="28"/>
      <c r="B549" s="9"/>
      <c r="C549" s="9"/>
      <c r="D549" s="9"/>
      <c r="E549" s="9"/>
      <c r="F549" s="9"/>
      <c r="G549" s="14"/>
    </row>
    <row r="550" spans="1:7" s="16" customFormat="1" ht="9.75" customHeight="1" x14ac:dyDescent="0.25">
      <c r="A550" s="214"/>
      <c r="B550" s="9"/>
      <c r="C550" s="9"/>
      <c r="D550" s="9"/>
      <c r="E550" s="9"/>
      <c r="F550" s="9"/>
      <c r="G550" s="14"/>
    </row>
    <row r="551" spans="1:7" s="16" customFormat="1" ht="9.75" customHeight="1" x14ac:dyDescent="0.25">
      <c r="A551" s="214"/>
      <c r="B551" s="9"/>
      <c r="C551" s="9"/>
      <c r="D551" s="9"/>
      <c r="E551" s="9"/>
      <c r="F551" s="9"/>
      <c r="G551" s="14"/>
    </row>
    <row r="552" spans="1:7" ht="15.75" x14ac:dyDescent="0.25">
      <c r="A552" s="214"/>
    </row>
    <row r="581" s="8" customFormat="1" ht="9" customHeight="1" x14ac:dyDescent="0.25"/>
  </sheetData>
  <mergeCells count="7">
    <mergeCell ref="A46:D46"/>
    <mergeCell ref="A63:D63"/>
    <mergeCell ref="A1:F1"/>
    <mergeCell ref="A2:F2"/>
    <mergeCell ref="A4:F4"/>
    <mergeCell ref="A23:C23"/>
    <mergeCell ref="A45:E45"/>
  </mergeCells>
  <pageMargins left="0.75138888888888899" right="0.51180555555555496" top="0.78749999999999998" bottom="0.78749999999999998" header="0.51180555555555496" footer="0.51180555555555496"/>
  <pageSetup paperSize="9" scale="70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zoomScaleNormal="100" workbookViewId="0">
      <selection activeCell="N22" sqref="N22"/>
    </sheetView>
  </sheetViews>
  <sheetFormatPr defaultRowHeight="15" x14ac:dyDescent="0.25"/>
  <cols>
    <col min="1" max="1" width="34.85546875" customWidth="1"/>
    <col min="2" max="2" width="9.140625" style="219" customWidth="1"/>
    <col min="3" max="3" width="12.42578125" style="219" customWidth="1"/>
    <col min="4" max="4" width="9.140625" style="219" customWidth="1"/>
    <col min="5" max="5" width="10.42578125" style="219" customWidth="1"/>
    <col min="6" max="6" width="17" customWidth="1"/>
    <col min="7" max="1025" width="8.7109375" customWidth="1"/>
  </cols>
  <sheetData>
    <row r="1" spans="1:6" ht="34.5" x14ac:dyDescent="0.3">
      <c r="A1" s="220"/>
      <c r="B1" s="221" t="s">
        <v>230</v>
      </c>
      <c r="C1" s="221" t="s">
        <v>231</v>
      </c>
      <c r="D1" s="221" t="s">
        <v>232</v>
      </c>
      <c r="E1" s="221" t="s">
        <v>233</v>
      </c>
      <c r="F1" s="220"/>
    </row>
    <row r="2" spans="1:6" ht="17.25" x14ac:dyDescent="0.3">
      <c r="A2" s="220" t="s">
        <v>234</v>
      </c>
      <c r="B2" s="222"/>
      <c r="C2" s="222">
        <v>1</v>
      </c>
      <c r="D2" s="222"/>
      <c r="E2" s="222">
        <v>2</v>
      </c>
      <c r="F2" s="220"/>
    </row>
    <row r="3" spans="1:6" ht="17.25" x14ac:dyDescent="0.3">
      <c r="A3" s="220" t="s">
        <v>235</v>
      </c>
      <c r="B3" s="222"/>
      <c r="C3" s="222">
        <v>1</v>
      </c>
      <c r="D3" s="222"/>
      <c r="E3" s="222">
        <v>2</v>
      </c>
      <c r="F3" s="220"/>
    </row>
    <row r="4" spans="1:6" ht="17.25" x14ac:dyDescent="0.3">
      <c r="A4" s="220" t="s">
        <v>236</v>
      </c>
      <c r="B4" s="222"/>
      <c r="C4" s="222">
        <v>1</v>
      </c>
      <c r="D4" s="222"/>
      <c r="E4" s="222">
        <v>2</v>
      </c>
      <c r="F4" s="220"/>
    </row>
    <row r="5" spans="1:6" ht="17.25" x14ac:dyDescent="0.3">
      <c r="A5" s="220" t="s">
        <v>237</v>
      </c>
      <c r="B5" s="222"/>
      <c r="C5" s="222">
        <v>1</v>
      </c>
      <c r="D5" s="222"/>
      <c r="E5" s="222">
        <v>2</v>
      </c>
      <c r="F5" s="220"/>
    </row>
    <row r="6" spans="1:6" ht="17.25" x14ac:dyDescent="0.3">
      <c r="A6" s="220" t="s">
        <v>238</v>
      </c>
      <c r="B6" s="222">
        <v>1</v>
      </c>
      <c r="C6" s="222"/>
      <c r="D6" s="222">
        <v>3</v>
      </c>
      <c r="E6" s="222"/>
      <c r="F6" s="220"/>
    </row>
    <row r="7" spans="1:6" ht="17.25" x14ac:dyDescent="0.3">
      <c r="A7" s="220" t="s">
        <v>239</v>
      </c>
      <c r="B7" s="222">
        <v>1</v>
      </c>
      <c r="C7" s="222"/>
      <c r="D7" s="222">
        <v>3</v>
      </c>
      <c r="E7" s="222"/>
      <c r="F7" s="220"/>
    </row>
    <row r="8" spans="1:6" ht="17.25" x14ac:dyDescent="0.3">
      <c r="A8" s="220" t="s">
        <v>240</v>
      </c>
      <c r="B8" s="222">
        <v>1</v>
      </c>
      <c r="C8" s="222"/>
      <c r="D8" s="222">
        <v>3</v>
      </c>
      <c r="E8" s="222"/>
      <c r="F8" s="220"/>
    </row>
    <row r="9" spans="1:6" ht="17.25" x14ac:dyDescent="0.3">
      <c r="A9" s="220" t="s">
        <v>241</v>
      </c>
      <c r="B9" s="222">
        <v>1</v>
      </c>
      <c r="C9" s="222"/>
      <c r="D9" s="222">
        <v>3</v>
      </c>
      <c r="E9" s="222"/>
      <c r="F9" s="220"/>
    </row>
    <row r="10" spans="1:6" ht="17.25" x14ac:dyDescent="0.3">
      <c r="A10" s="220" t="s">
        <v>242</v>
      </c>
      <c r="B10" s="222">
        <v>1</v>
      </c>
      <c r="C10" s="222"/>
      <c r="D10" s="222">
        <v>3</v>
      </c>
      <c r="E10" s="222"/>
      <c r="F10" s="220"/>
    </row>
    <row r="11" spans="1:6" ht="17.25" x14ac:dyDescent="0.3">
      <c r="A11" s="220" t="s">
        <v>243</v>
      </c>
      <c r="B11" s="1">
        <v>1</v>
      </c>
      <c r="C11" s="222"/>
      <c r="D11" s="1">
        <v>3</v>
      </c>
      <c r="E11" s="222"/>
      <c r="F11" s="220"/>
    </row>
    <row r="12" spans="1:6" ht="17.25" x14ac:dyDescent="0.3">
      <c r="A12" s="220" t="s">
        <v>244</v>
      </c>
      <c r="B12" s="1"/>
      <c r="C12" s="222"/>
      <c r="D12" s="1"/>
      <c r="E12" s="222"/>
      <c r="F12" s="220" t="s">
        <v>245</v>
      </c>
    </row>
    <row r="13" spans="1:6" ht="17.25" x14ac:dyDescent="0.3">
      <c r="A13" s="220" t="s">
        <v>246</v>
      </c>
      <c r="B13" s="222"/>
      <c r="C13" s="222">
        <v>1</v>
      </c>
      <c r="D13" s="222"/>
      <c r="E13" s="222">
        <v>3</v>
      </c>
      <c r="F13" s="220"/>
    </row>
    <row r="14" spans="1:6" ht="17.25" x14ac:dyDescent="0.3">
      <c r="A14" s="220" t="s">
        <v>247</v>
      </c>
      <c r="B14" s="222"/>
      <c r="C14" s="222">
        <v>1</v>
      </c>
      <c r="D14" s="222"/>
      <c r="E14" s="222">
        <v>3</v>
      </c>
      <c r="F14" s="220"/>
    </row>
    <row r="15" spans="1:6" ht="17.25" x14ac:dyDescent="0.3">
      <c r="A15" s="220" t="s">
        <v>248</v>
      </c>
      <c r="B15" s="222"/>
      <c r="C15" s="222">
        <v>1</v>
      </c>
      <c r="D15" s="222"/>
      <c r="E15" s="222">
        <v>3</v>
      </c>
      <c r="F15" s="220"/>
    </row>
    <row r="16" spans="1:6" ht="17.25" x14ac:dyDescent="0.3">
      <c r="A16" s="220" t="s">
        <v>249</v>
      </c>
      <c r="B16" s="222"/>
      <c r="C16" s="222">
        <v>1</v>
      </c>
      <c r="D16" s="222"/>
      <c r="E16" s="222">
        <v>3</v>
      </c>
      <c r="F16" s="220"/>
    </row>
    <row r="17" spans="1:6" ht="17.25" x14ac:dyDescent="0.3">
      <c r="A17" s="220" t="s">
        <v>250</v>
      </c>
      <c r="B17" s="222">
        <v>1</v>
      </c>
      <c r="C17" s="222"/>
      <c r="D17" s="222">
        <v>3</v>
      </c>
      <c r="E17" s="222"/>
      <c r="F17" s="220" t="s">
        <v>251</v>
      </c>
    </row>
    <row r="18" spans="1:6" ht="17.25" x14ac:dyDescent="0.3">
      <c r="A18" s="220" t="s">
        <v>252</v>
      </c>
      <c r="B18" s="222">
        <v>1</v>
      </c>
      <c r="C18" s="222"/>
      <c r="D18" s="222">
        <v>3</v>
      </c>
      <c r="E18" s="222"/>
      <c r="F18" s="220"/>
    </row>
    <row r="19" spans="1:6" ht="17.25" x14ac:dyDescent="0.3">
      <c r="A19" s="220" t="s">
        <v>253</v>
      </c>
      <c r="B19" s="222">
        <v>1</v>
      </c>
      <c r="C19" s="222"/>
      <c r="D19" s="222">
        <v>3</v>
      </c>
      <c r="E19" s="222"/>
      <c r="F19" s="220" t="s">
        <v>254</v>
      </c>
    </row>
    <row r="20" spans="1:6" ht="17.25" x14ac:dyDescent="0.3">
      <c r="A20" s="220" t="s">
        <v>255</v>
      </c>
      <c r="B20" s="222">
        <f>SUM(B2:B19)</f>
        <v>9</v>
      </c>
      <c r="C20" s="222">
        <f>SUM(C2:C19)</f>
        <v>8</v>
      </c>
      <c r="D20" s="222">
        <f>SUM(D2:D19)</f>
        <v>27</v>
      </c>
      <c r="E20" s="222">
        <f>SUM(E2:E19)</f>
        <v>20</v>
      </c>
      <c r="F20" s="220"/>
    </row>
    <row r="21" spans="1:6" ht="17.25" x14ac:dyDescent="0.3">
      <c r="A21" s="220"/>
      <c r="B21" s="222"/>
      <c r="C21" s="222"/>
      <c r="D21" s="222"/>
      <c r="E21" s="222"/>
      <c r="F21" s="220"/>
    </row>
    <row r="22" spans="1:6" ht="17.25" x14ac:dyDescent="0.3">
      <c r="A22" s="220"/>
      <c r="B22" s="222"/>
      <c r="C22" s="222"/>
      <c r="D22" s="222"/>
      <c r="E22" s="222"/>
      <c r="F22" s="220"/>
    </row>
  </sheetData>
  <mergeCells count="2">
    <mergeCell ref="B11:B12"/>
    <mergeCell ref="D11:D12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J11" sqref="J11"/>
    </sheetView>
  </sheetViews>
  <sheetFormatPr defaultRowHeight="15" x14ac:dyDescent="0.25"/>
  <sheetData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 ALTERADA</vt:lpstr>
      <vt:lpstr>Planilha2</vt:lpstr>
      <vt:lpstr>Planilha3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revision>16</cp:revision>
  <cp:lastPrinted>2022-03-25T17:52:59Z</cp:lastPrinted>
  <dcterms:created xsi:type="dcterms:W3CDTF">2021-08-14T00:30:27Z</dcterms:created>
  <dcterms:modified xsi:type="dcterms:W3CDTF">2022-03-29T17:26:08Z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