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3290" windowHeight="8505" tabRatio="500"/>
  </bookViews>
  <sheets>
    <sheet name="Tarifa Teto" sheetId="4" r:id="rId1"/>
  </sheets>
  <calcPr calcId="162913" iterateDelta="1E-4"/>
</workbook>
</file>

<file path=xl/calcChain.xml><?xml version="1.0" encoding="utf-8"?>
<calcChain xmlns="http://schemas.openxmlformats.org/spreadsheetml/2006/main">
  <c r="C35" i="4" l="1"/>
  <c r="C49" i="4" l="1"/>
  <c r="C421" i="4" l="1"/>
  <c r="C420" i="4"/>
  <c r="E377" i="4"/>
  <c r="C337" i="4"/>
  <c r="G337" i="4" s="1"/>
  <c r="C336" i="4"/>
  <c r="G336" i="4" s="1"/>
  <c r="E304" i="4"/>
  <c r="E303" i="4"/>
  <c r="E302" i="4"/>
  <c r="E301" i="4"/>
  <c r="D293" i="4"/>
  <c r="D292" i="4"/>
  <c r="D291" i="4"/>
  <c r="D290" i="4"/>
  <c r="D289" i="4"/>
  <c r="D288" i="4"/>
  <c r="D287" i="4"/>
  <c r="D286" i="4"/>
  <c r="D285" i="4"/>
  <c r="E284" i="4"/>
  <c r="D284" i="4"/>
  <c r="D276" i="4"/>
  <c r="D272" i="4"/>
  <c r="D271" i="4"/>
  <c r="E267" i="4"/>
  <c r="D267" i="4"/>
  <c r="D259" i="4"/>
  <c r="D258" i="4"/>
  <c r="D257" i="4"/>
  <c r="D256" i="4"/>
  <c r="D255" i="4"/>
  <c r="D254" i="4"/>
  <c r="D253" i="4"/>
  <c r="D252" i="4"/>
  <c r="D251" i="4"/>
  <c r="E250" i="4"/>
  <c r="D250" i="4"/>
  <c r="D242" i="4"/>
  <c r="D241" i="4"/>
  <c r="D240" i="4"/>
  <c r="D239" i="4"/>
  <c r="D237" i="4"/>
  <c r="D236" i="4"/>
  <c r="E235" i="4"/>
  <c r="D235" i="4"/>
  <c r="E211" i="4"/>
  <c r="E210" i="4"/>
  <c r="E209" i="4"/>
  <c r="E208" i="4"/>
  <c r="D202" i="4"/>
  <c r="C304" i="4" s="1"/>
  <c r="E200" i="4"/>
  <c r="F200" i="4" s="1"/>
  <c r="E199" i="4"/>
  <c r="E198" i="4"/>
  <c r="E197" i="4"/>
  <c r="E196" i="4"/>
  <c r="E195" i="4"/>
  <c r="E194" i="4"/>
  <c r="E193" i="4"/>
  <c r="E192" i="4"/>
  <c r="E191" i="4"/>
  <c r="D184" i="4"/>
  <c r="E182" i="4"/>
  <c r="F182" i="4" s="1"/>
  <c r="E181" i="4"/>
  <c r="E180" i="4"/>
  <c r="E179" i="4"/>
  <c r="E178" i="4"/>
  <c r="E177" i="4"/>
  <c r="E176" i="4"/>
  <c r="E175" i="4"/>
  <c r="E174" i="4"/>
  <c r="E173" i="4"/>
  <c r="E268" i="4" s="1"/>
  <c r="D166" i="4"/>
  <c r="E164" i="4"/>
  <c r="F164" i="4" s="1"/>
  <c r="E163" i="4"/>
  <c r="E162" i="4"/>
  <c r="E161" i="4"/>
  <c r="E160" i="4"/>
  <c r="E159" i="4"/>
  <c r="E158" i="4"/>
  <c r="E157" i="4"/>
  <c r="E156" i="4"/>
  <c r="E155" i="4"/>
  <c r="E251" i="4" s="1"/>
  <c r="D148" i="4"/>
  <c r="E146" i="4"/>
  <c r="F146" i="4" s="1"/>
  <c r="E145" i="4"/>
  <c r="E144" i="4"/>
  <c r="E143" i="4"/>
  <c r="E142" i="4"/>
  <c r="E141" i="4"/>
  <c r="E140" i="4"/>
  <c r="E139" i="4"/>
  <c r="E236" i="4" s="1"/>
  <c r="F236" i="4" s="1"/>
  <c r="D113" i="4"/>
  <c r="F113" i="4" s="1"/>
  <c r="D112" i="4"/>
  <c r="F112" i="4" s="1"/>
  <c r="D110" i="4"/>
  <c r="H110" i="4" s="1"/>
  <c r="D124" i="4" s="1"/>
  <c r="D109" i="4"/>
  <c r="H109" i="4" s="1"/>
  <c r="D101" i="4"/>
  <c r="F101" i="4" s="1"/>
  <c r="D100" i="4"/>
  <c r="F100" i="4" s="1"/>
  <c r="D98" i="4"/>
  <c r="H98" i="4" s="1"/>
  <c r="D123" i="4" s="1"/>
  <c r="D97" i="4"/>
  <c r="H97" i="4" s="1"/>
  <c r="D89" i="4"/>
  <c r="F89" i="4" s="1"/>
  <c r="D88" i="4"/>
  <c r="F88" i="4" s="1"/>
  <c r="D86" i="4"/>
  <c r="H86" i="4" s="1"/>
  <c r="D122" i="4" s="1"/>
  <c r="D85" i="4"/>
  <c r="H85" i="4" s="1"/>
  <c r="D77" i="4"/>
  <c r="D76" i="4"/>
  <c r="F76" i="4" s="1"/>
  <c r="D74" i="4"/>
  <c r="H74" i="4" s="1"/>
  <c r="D121" i="4" s="1"/>
  <c r="D73" i="4"/>
  <c r="H73" i="4" s="1"/>
  <c r="D60" i="4"/>
  <c r="C60" i="4"/>
  <c r="D59" i="4"/>
  <c r="C59" i="4"/>
  <c r="D58" i="4"/>
  <c r="C58" i="4"/>
  <c r="D57" i="4"/>
  <c r="C57" i="4"/>
  <c r="C338" i="4"/>
  <c r="G338" i="4" s="1"/>
  <c r="E15" i="4"/>
  <c r="C37" i="4" s="1"/>
  <c r="D295" i="4" l="1"/>
  <c r="F251" i="4"/>
  <c r="E59" i="4"/>
  <c r="D102" i="4" s="1"/>
  <c r="E58" i="4"/>
  <c r="D90" i="4" s="1"/>
  <c r="F268" i="4"/>
  <c r="E60" i="4"/>
  <c r="D114" i="4" s="1"/>
  <c r="D261" i="4"/>
  <c r="H87" i="4"/>
  <c r="E122" i="4" s="1"/>
  <c r="H99" i="4"/>
  <c r="E123" i="4" s="1"/>
  <c r="H111" i="4"/>
  <c r="E124" i="4" s="1"/>
  <c r="D244" i="4"/>
  <c r="D278" i="4"/>
  <c r="F77" i="4"/>
  <c r="H75" i="4" s="1"/>
  <c r="E121" i="4" s="1"/>
  <c r="F235" i="4"/>
  <c r="F250" i="4"/>
  <c r="F267" i="4"/>
  <c r="F284" i="4"/>
  <c r="C121" i="4"/>
  <c r="C122" i="4"/>
  <c r="C123" i="4"/>
  <c r="C124" i="4"/>
  <c r="C301" i="4"/>
  <c r="C208" i="4"/>
  <c r="C302" i="4"/>
  <c r="C209" i="4"/>
  <c r="F12" i="4" s="1"/>
  <c r="C303" i="4"/>
  <c r="C210" i="4"/>
  <c r="E285" i="4"/>
  <c r="F285" i="4" s="1"/>
  <c r="E202" i="4"/>
  <c r="E289" i="4"/>
  <c r="F289" i="4" s="1"/>
  <c r="F195" i="4"/>
  <c r="C412" i="4"/>
  <c r="F345" i="4"/>
  <c r="E57" i="4"/>
  <c r="F139" i="4"/>
  <c r="E237" i="4"/>
  <c r="F237" i="4" s="1"/>
  <c r="F140" i="4"/>
  <c r="E238" i="4"/>
  <c r="F238" i="4" s="1"/>
  <c r="F141" i="4"/>
  <c r="E239" i="4"/>
  <c r="F239" i="4" s="1"/>
  <c r="F142" i="4"/>
  <c r="E240" i="4"/>
  <c r="F240" i="4" s="1"/>
  <c r="F143" i="4"/>
  <c r="E241" i="4"/>
  <c r="F241" i="4" s="1"/>
  <c r="F144" i="4"/>
  <c r="E242" i="4"/>
  <c r="F242" i="4" s="1"/>
  <c r="F145" i="4"/>
  <c r="E148" i="4"/>
  <c r="F155" i="4"/>
  <c r="E252" i="4"/>
  <c r="F252" i="4" s="1"/>
  <c r="F156" i="4"/>
  <c r="E253" i="4"/>
  <c r="F253" i="4" s="1"/>
  <c r="F157" i="4"/>
  <c r="E254" i="4"/>
  <c r="F254" i="4" s="1"/>
  <c r="F158" i="4"/>
  <c r="E255" i="4"/>
  <c r="F255" i="4" s="1"/>
  <c r="F159" i="4"/>
  <c r="E256" i="4"/>
  <c r="F256" i="4" s="1"/>
  <c r="F160" i="4"/>
  <c r="E257" i="4"/>
  <c r="F257" i="4" s="1"/>
  <c r="F161" i="4"/>
  <c r="E258" i="4"/>
  <c r="F258" i="4" s="1"/>
  <c r="F162" i="4"/>
  <c r="E259" i="4"/>
  <c r="F259" i="4" s="1"/>
  <c r="F163" i="4"/>
  <c r="E166" i="4"/>
  <c r="F173" i="4"/>
  <c r="E269" i="4"/>
  <c r="F269" i="4" s="1"/>
  <c r="F174" i="4"/>
  <c r="E270" i="4"/>
  <c r="F270" i="4" s="1"/>
  <c r="F175" i="4"/>
  <c r="E271" i="4"/>
  <c r="F271" i="4" s="1"/>
  <c r="F176" i="4"/>
  <c r="E272" i="4"/>
  <c r="F272" i="4" s="1"/>
  <c r="F177" i="4"/>
  <c r="E273" i="4"/>
  <c r="F273" i="4" s="1"/>
  <c r="F178" i="4"/>
  <c r="E274" i="4"/>
  <c r="F274" i="4" s="1"/>
  <c r="F179" i="4"/>
  <c r="E275" i="4"/>
  <c r="F275" i="4" s="1"/>
  <c r="F180" i="4"/>
  <c r="E276" i="4"/>
  <c r="F276" i="4" s="1"/>
  <c r="F181" i="4"/>
  <c r="E184" i="4"/>
  <c r="F191" i="4"/>
  <c r="E286" i="4"/>
  <c r="F286" i="4" s="1"/>
  <c r="F192" i="4"/>
  <c r="E287" i="4"/>
  <c r="F287" i="4" s="1"/>
  <c r="F193" i="4"/>
  <c r="E288" i="4"/>
  <c r="F288" i="4" s="1"/>
  <c r="F194" i="4"/>
  <c r="E290" i="4"/>
  <c r="F290" i="4" s="1"/>
  <c r="E291" i="4"/>
  <c r="F291" i="4" s="1"/>
  <c r="E292" i="4"/>
  <c r="F292" i="4" s="1"/>
  <c r="E293" i="4"/>
  <c r="F293" i="4" s="1"/>
  <c r="F196" i="4"/>
  <c r="F197" i="4"/>
  <c r="F198" i="4"/>
  <c r="F199" i="4"/>
  <c r="C211" i="4"/>
  <c r="F14" i="4" s="1"/>
  <c r="F295" i="4" l="1"/>
  <c r="D304" i="4" s="1"/>
  <c r="F304" i="4" s="1"/>
  <c r="F261" i="4"/>
  <c r="D302" i="4" s="1"/>
  <c r="F302" i="4" s="1"/>
  <c r="F278" i="4"/>
  <c r="D303" i="4" s="1"/>
  <c r="F303" i="4" s="1"/>
  <c r="F244" i="4"/>
  <c r="D301" i="4" s="1"/>
  <c r="F301" i="4" s="1"/>
  <c r="F60" i="4"/>
  <c r="D14" i="4"/>
  <c r="D78" i="4"/>
  <c r="F354" i="4"/>
  <c r="F356" i="4" s="1"/>
  <c r="C414" i="4" s="1"/>
  <c r="F347" i="4"/>
  <c r="C413" i="4" s="1"/>
  <c r="G123" i="4"/>
  <c r="F59" i="4"/>
  <c r="G122" i="4"/>
  <c r="F58" i="4"/>
  <c r="D12" i="4"/>
  <c r="C213" i="4"/>
  <c r="F202" i="4"/>
  <c r="D211" i="4" s="1"/>
  <c r="F211" i="4" s="1"/>
  <c r="F184" i="4"/>
  <c r="D210" i="4" s="1"/>
  <c r="F210" i="4" s="1"/>
  <c r="F166" i="4"/>
  <c r="D209" i="4" s="1"/>
  <c r="F209" i="4" s="1"/>
  <c r="F148" i="4"/>
  <c r="D208" i="4" s="1"/>
  <c r="F208" i="4" s="1"/>
  <c r="C306" i="4"/>
  <c r="C51" i="4"/>
  <c r="F306" i="4" l="1"/>
  <c r="D308" i="4" s="1"/>
  <c r="C407" i="4" s="1"/>
  <c r="F213" i="4"/>
  <c r="D215" i="4" s="1"/>
  <c r="C403" i="4" s="1"/>
  <c r="G121" i="4"/>
  <c r="F57" i="4"/>
  <c r="F15" i="4"/>
  <c r="D413" i="4" s="1"/>
  <c r="D15" i="4"/>
  <c r="C36" i="4" s="1"/>
  <c r="C40" i="4" s="1"/>
  <c r="E414" i="4" s="1"/>
  <c r="D414" i="4" l="1"/>
  <c r="H78" i="4"/>
  <c r="F121" i="4" s="1"/>
  <c r="E413" i="4"/>
  <c r="D407" i="4"/>
  <c r="H90" i="4"/>
  <c r="H102" i="4"/>
  <c r="H114" i="4"/>
  <c r="E420" i="4"/>
  <c r="E421" i="4"/>
  <c r="E412" i="4"/>
  <c r="C427" i="4"/>
  <c r="C38" i="4"/>
  <c r="E403" i="4" s="1"/>
  <c r="C415" i="4"/>
  <c r="C416" i="4"/>
  <c r="D420" i="4"/>
  <c r="D421" i="4"/>
  <c r="D412" i="4"/>
  <c r="C62" i="4"/>
  <c r="F364" i="4" s="1"/>
  <c r="F366" i="4" s="1"/>
  <c r="C419" i="4" s="1"/>
  <c r="E62" i="4"/>
  <c r="D126" i="4"/>
  <c r="E394" i="4" s="1"/>
  <c r="E126" i="4"/>
  <c r="E395" i="4" s="1"/>
  <c r="C126" i="4"/>
  <c r="E393" i="4" s="1"/>
  <c r="D403" i="4"/>
  <c r="H79" i="4" l="1"/>
  <c r="F324" i="4"/>
  <c r="F326" i="4" s="1"/>
  <c r="C409" i="4" s="1"/>
  <c r="F315" i="4"/>
  <c r="F317" i="4" s="1"/>
  <c r="C408" i="4" s="1"/>
  <c r="F222" i="4"/>
  <c r="F224" i="4" s="1"/>
  <c r="C404" i="4" s="1"/>
  <c r="E419" i="4"/>
  <c r="D419" i="4"/>
  <c r="D418" i="4" s="1"/>
  <c r="C418" i="4"/>
  <c r="E416" i="4"/>
  <c r="D416" i="4"/>
  <c r="E415" i="4"/>
  <c r="D415" i="4"/>
  <c r="C411" i="4"/>
  <c r="E427" i="4"/>
  <c r="D427" i="4"/>
  <c r="F124" i="4"/>
  <c r="H115" i="4"/>
  <c r="F123" i="4"/>
  <c r="H103" i="4"/>
  <c r="F122" i="4"/>
  <c r="H91" i="4"/>
  <c r="E407" i="4"/>
  <c r="D411" i="4" l="1"/>
  <c r="E411" i="4"/>
  <c r="F126" i="4"/>
  <c r="E396" i="4" s="1"/>
  <c r="E398" i="4" s="1"/>
  <c r="E418" i="4"/>
  <c r="E404" i="4"/>
  <c r="D404" i="4"/>
  <c r="D402" i="4" s="1"/>
  <c r="C402" i="4"/>
  <c r="E408" i="4"/>
  <c r="D408" i="4"/>
  <c r="C406" i="4"/>
  <c r="E409" i="4"/>
  <c r="D409" i="4"/>
  <c r="C423" i="4" l="1"/>
  <c r="E402" i="4"/>
  <c r="D406" i="4"/>
  <c r="D423" i="4" s="1"/>
  <c r="E406" i="4"/>
  <c r="E423" i="4" l="1"/>
  <c r="E431" i="4" l="1"/>
  <c r="E433" i="4" l="1"/>
  <c r="F431" i="4" s="1"/>
  <c r="D435" i="4" l="1"/>
  <c r="F433" i="4"/>
  <c r="F414" i="4"/>
  <c r="F413" i="4"/>
  <c r="F393" i="4"/>
  <c r="F403" i="4"/>
  <c r="F412" i="4"/>
  <c r="F395" i="4"/>
  <c r="F394" i="4"/>
  <c r="F421" i="4"/>
  <c r="F420" i="4"/>
  <c r="F407" i="4"/>
  <c r="F419" i="4"/>
  <c r="F396" i="4"/>
  <c r="F411" i="4"/>
  <c r="F427" i="4"/>
  <c r="F415" i="4"/>
  <c r="F416" i="4"/>
  <c r="F404" i="4"/>
  <c r="F418" i="4"/>
  <c r="F398" i="4"/>
  <c r="F409" i="4"/>
  <c r="F408" i="4"/>
  <c r="F406" i="4"/>
  <c r="F402" i="4"/>
  <c r="F423" i="4"/>
</calcChain>
</file>

<file path=xl/sharedStrings.xml><?xml version="1.0" encoding="utf-8"?>
<sst xmlns="http://schemas.openxmlformats.org/spreadsheetml/2006/main" count="393" uniqueCount="174">
  <si>
    <t>I - Preços dos Insumos Básicos</t>
  </si>
  <si>
    <t>Insumos</t>
  </si>
  <si>
    <t>Preço (R$)</t>
  </si>
  <si>
    <t>Tarifa Teto</t>
  </si>
  <si>
    <t>Combustível</t>
  </si>
  <si>
    <t>Óleo Diesel</t>
  </si>
  <si>
    <t>Composição I</t>
  </si>
  <si>
    <t>Pneu - I</t>
  </si>
  <si>
    <t>Material Rodante</t>
  </si>
  <si>
    <t>Recapagem - I</t>
  </si>
  <si>
    <t>Composição II</t>
  </si>
  <si>
    <t>Pneu - II</t>
  </si>
  <si>
    <t>Recapagem - II</t>
  </si>
  <si>
    <t>Frota Operacional</t>
  </si>
  <si>
    <t>Frota Reserva</t>
  </si>
  <si>
    <t>Frota Total</t>
  </si>
  <si>
    <t>Categoria I</t>
  </si>
  <si>
    <t>Micro Ônibus</t>
  </si>
  <si>
    <t>Categoria II</t>
  </si>
  <si>
    <t>Veículo Leve</t>
  </si>
  <si>
    <t>Categoria III</t>
  </si>
  <si>
    <t>Veículo Pesado</t>
  </si>
  <si>
    <t>Categoria IV</t>
  </si>
  <si>
    <t>Veículo Articulado</t>
  </si>
  <si>
    <t>Total</t>
  </si>
  <si>
    <t>Salários</t>
  </si>
  <si>
    <t>Motorista</t>
  </si>
  <si>
    <t>R$ / Mês</t>
  </si>
  <si>
    <t>Cobrador</t>
  </si>
  <si>
    <t>Fiscal</t>
  </si>
  <si>
    <t>Total de Benefícios</t>
  </si>
  <si>
    <t>R$/Mês</t>
  </si>
  <si>
    <t>Remuneração da Diretoria</t>
  </si>
  <si>
    <t>Licenciamento</t>
  </si>
  <si>
    <t>Seguro Obrigatório</t>
  </si>
  <si>
    <t>R$/Veículo</t>
  </si>
  <si>
    <t>II - Cálculo do Percurso Médio Mensal ( PMM )</t>
  </si>
  <si>
    <t>Quilometragem Produtiva (Km)</t>
  </si>
  <si>
    <t>Km</t>
  </si>
  <si>
    <t>Quilometragem Morta ( Km )</t>
  </si>
  <si>
    <t>Veículos</t>
  </si>
  <si>
    <t>PMM</t>
  </si>
  <si>
    <t>Km/Veículo</t>
  </si>
  <si>
    <t>III - Cálculo do IPK</t>
  </si>
  <si>
    <t>Passageiros sem Desconto</t>
  </si>
  <si>
    <t>Pass/Mês</t>
  </si>
  <si>
    <t>Passageiros com Desconto</t>
  </si>
  <si>
    <t>Desconto</t>
  </si>
  <si>
    <t>%</t>
  </si>
  <si>
    <t>Passageiros com Acréscimo</t>
  </si>
  <si>
    <t>Acréscimo</t>
  </si>
  <si>
    <t>Número Passageiros Equivalente</t>
  </si>
  <si>
    <t>IPK Equivalente</t>
  </si>
  <si>
    <t>Pass/Km</t>
  </si>
  <si>
    <t>IV - Cálculo do Valor do Veículo sem Rodagem</t>
  </si>
  <si>
    <t>Valor com Rodagem</t>
  </si>
  <si>
    <t>Rodagem</t>
  </si>
  <si>
    <t>Valor sem Rodagem</t>
  </si>
  <si>
    <t>Frota</t>
  </si>
  <si>
    <t>Veículo Micro Ônibus</t>
  </si>
  <si>
    <t>Veículo Médio</t>
  </si>
  <si>
    <t>V - Memória de Cálculo da Planilha Tarifária</t>
  </si>
  <si>
    <t>1 - Custos Variáveis</t>
  </si>
  <si>
    <t>1.1 Micro Ônibus</t>
  </si>
  <si>
    <t>Item</t>
  </si>
  <si>
    <t>Sub-item</t>
  </si>
  <si>
    <t>Preço Unitário</t>
  </si>
  <si>
    <t>Índice de Consumo</t>
  </si>
  <si>
    <t>Custo (R$/Km)</t>
  </si>
  <si>
    <t>Lubrificantes</t>
  </si>
  <si>
    <t>Pneus</t>
  </si>
  <si>
    <t>Recapagem</t>
  </si>
  <si>
    <t>Peças, Acessórios e Manutenção</t>
  </si>
  <si>
    <t>Total Custo Variável</t>
  </si>
  <si>
    <t>1.2 Veículo Leve</t>
  </si>
  <si>
    <t>1.3 Veículo Pesado</t>
  </si>
  <si>
    <t>1.4 Veículo Articulado</t>
  </si>
  <si>
    <t>1.5 Cálculo do Custo Variável Médio</t>
  </si>
  <si>
    <t>Tipo de Veículo</t>
  </si>
  <si>
    <t>Peças e Acessórios</t>
  </si>
  <si>
    <t>Custo Variável Médio (R$/Km)</t>
  </si>
  <si>
    <t>2. CUSTOS FIXOS</t>
  </si>
  <si>
    <t>2.1 - Depreciação</t>
  </si>
  <si>
    <t>2.1.1 - Micro Ônibus</t>
  </si>
  <si>
    <t>Valor residual ( % )</t>
  </si>
  <si>
    <t>Idade</t>
  </si>
  <si>
    <t>Quantidade</t>
  </si>
  <si>
    <t>% Depreciação</t>
  </si>
  <si>
    <t>Coeficiente Anual</t>
  </si>
  <si>
    <t>0 a 1</t>
  </si>
  <si>
    <t>1 a 2</t>
  </si>
  <si>
    <t>2 a 3</t>
  </si>
  <si>
    <t>3 a 4</t>
  </si>
  <si>
    <t>4 a 5</t>
  </si>
  <si>
    <t>5 a 6</t>
  </si>
  <si>
    <t>6 a 7</t>
  </si>
  <si>
    <t>7 a 8</t>
  </si>
  <si>
    <t>2.1.2- Veículo Leve</t>
  </si>
  <si>
    <t>8 a 9</t>
  </si>
  <si>
    <t>9 a 10</t>
  </si>
  <si>
    <t>2.1.3 - Veículo Pesado</t>
  </si>
  <si>
    <t>2.1.5 - Veículo Articulado</t>
  </si>
  <si>
    <t>Valor do Veículo</t>
  </si>
  <si>
    <t>Depreciação</t>
  </si>
  <si>
    <t>Totais</t>
  </si>
  <si>
    <t>Depreciação Média Mensal</t>
  </si>
  <si>
    <t>2.1.6 - Depreciação de Máquinas, Instalações e Equipamentos</t>
  </si>
  <si>
    <t>Coeficiente Depreciação de Máquinas, Instalações e Equipamentos</t>
  </si>
  <si>
    <t>Preço Veículo Médio sem Rodagem</t>
  </si>
  <si>
    <t>Depreciação de Maq., Instalações e Equipamentos / veículo</t>
  </si>
  <si>
    <t>2.2 - Remuneração do Capital</t>
  </si>
  <si>
    <t>Percentual de Remuneração do Capital Investido ( % )</t>
  </si>
  <si>
    <t>2.2.1 - Micro Ônibus</t>
  </si>
  <si>
    <t>% Remuneração</t>
  </si>
  <si>
    <t>2.2.2- Veículo Leve</t>
  </si>
  <si>
    <t>2.2.3 - Veículo Pesado</t>
  </si>
  <si>
    <t>2.2.4 - Veículo Articulado</t>
  </si>
  <si>
    <t>Remuneração</t>
  </si>
  <si>
    <t>Remuneração Média Mensal</t>
  </si>
  <si>
    <t>2.2.6 - Remuneração do Capital em Almoxarifado</t>
  </si>
  <si>
    <t>Coeficiente remuneração do Capital em almoxarifado</t>
  </si>
  <si>
    <t>2.2.7 - Remuneração do Capital em Maq., Instalações e Equipamentos</t>
  </si>
  <si>
    <t>Coeficiente Remuneração do Capital em Maq, Inst e Equipamentos</t>
  </si>
  <si>
    <t>Remuneração Capital em  Maq, Instalações e Equipamentos / veículo</t>
  </si>
  <si>
    <t>2.3 - Despesas com Pessoal</t>
  </si>
  <si>
    <t>2.3.1 - Pessoal de Operação</t>
  </si>
  <si>
    <t>Categoria</t>
  </si>
  <si>
    <t>Salário</t>
  </si>
  <si>
    <t>Fator de Utilização</t>
  </si>
  <si>
    <t>Enc. Sociais ( % )</t>
  </si>
  <si>
    <t>Valor Mensal</t>
  </si>
  <si>
    <t>R$ / veículo</t>
  </si>
  <si>
    <t>2.3.2 - Pessoal de Manutenção</t>
  </si>
  <si>
    <t>Coeficiente Despesas com Pessoal de Manutenção</t>
  </si>
  <si>
    <t>Despesa com Pessoal de Operação</t>
  </si>
  <si>
    <t>Despesa com Pessoal de Manutenção</t>
  </si>
  <si>
    <t>2.3.3 - Pessoal Administrativo</t>
  </si>
  <si>
    <t>Coeficiente Despesas com Pessoal Administrativo</t>
  </si>
  <si>
    <t>Despesa com Pessoal Administrativo</t>
  </si>
  <si>
    <t>2.4 - Despesas Gerais</t>
  </si>
  <si>
    <t>Coeficiente Despesas Gerais</t>
  </si>
  <si>
    <t>Preço do Veículo Médio</t>
  </si>
  <si>
    <t>Despesa Gerais</t>
  </si>
  <si>
    <t>2.5 - Tributos</t>
  </si>
  <si>
    <t>Tributo</t>
  </si>
  <si>
    <t>Alíquota</t>
  </si>
  <si>
    <t>ISSQN</t>
  </si>
  <si>
    <t>Contribuição Social</t>
  </si>
  <si>
    <t>3. RECEITA EXTRATARIFÁRIA</t>
  </si>
  <si>
    <t>Receita Extratarifária</t>
  </si>
  <si>
    <t>R$/veic./mês</t>
  </si>
  <si>
    <t>R$/mês</t>
  </si>
  <si>
    <t>R$/Km</t>
  </si>
  <si>
    <t>%  Total</t>
  </si>
  <si>
    <t>Custo Variável</t>
  </si>
  <si>
    <t>Custo Variável Total</t>
  </si>
  <si>
    <t>Custos Fixos</t>
  </si>
  <si>
    <t>Maq., Instalações e Equipamentos</t>
  </si>
  <si>
    <t>Almoxarifado</t>
  </si>
  <si>
    <t>Despesas com Pessoal</t>
  </si>
  <si>
    <t>Operação</t>
  </si>
  <si>
    <t>Manutenção</t>
  </si>
  <si>
    <t>Administrativo</t>
  </si>
  <si>
    <t>Benefícios</t>
  </si>
  <si>
    <t>Remuneração Diretoria</t>
  </si>
  <si>
    <t>Despesas Administrativas</t>
  </si>
  <si>
    <t>Gerais</t>
  </si>
  <si>
    <t>Custo Fixo Total</t>
  </si>
  <si>
    <t>Receitas Extratarifária</t>
  </si>
  <si>
    <t>Custo Total</t>
  </si>
  <si>
    <t>Custo Total sem Tributos</t>
  </si>
  <si>
    <t>Custo Total com Tributos</t>
  </si>
  <si>
    <t>Tarifa Básica</t>
  </si>
  <si>
    <t>Cálculo da Tarifa – Tarifa Teto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</si>
</sst>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%"/>
    <numFmt numFmtId="166" formatCode="0.000"/>
    <numFmt numFmtId="167" formatCode="#,##0.0000"/>
    <numFmt numFmtId="168" formatCode="0.000000"/>
    <numFmt numFmtId="169" formatCode="#,##0.000000"/>
    <numFmt numFmtId="170" formatCode="#,##0.000"/>
  </numFmts>
  <fonts count="5" x14ac:knownFonts="1"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7E4BD"/>
        <bgColor rgb="FFC3D69B"/>
      </patternFill>
    </fill>
    <fill>
      <patternFill patternType="solid">
        <fgColor rgb="FFFAC090"/>
        <bgColor rgb="FFC3D69B"/>
      </patternFill>
    </fill>
    <fill>
      <patternFill patternType="solid">
        <fgColor rgb="FFC3D69B"/>
        <bgColor rgb="FFD7E4BD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4" fillId="0" borderId="0"/>
  </cellStyleXfs>
  <cellXfs count="91">
    <xf numFmtId="0" fontId="0" fillId="0" borderId="0" xfId="0"/>
    <xf numFmtId="0" fontId="1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4" fontId="2" fillId="4" borderId="1" xfId="0" applyNumberFormat="1" applyFont="1" applyFill="1" applyBorder="1" applyProtection="1">
      <protection locked="0"/>
    </xf>
    <xf numFmtId="0" fontId="2" fillId="0" borderId="3" xfId="0" applyFont="1" applyBorder="1"/>
    <xf numFmtId="1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 applyProtection="1">
      <alignment horizontal="center"/>
      <protection locked="0"/>
    </xf>
    <xf numFmtId="165" fontId="2" fillId="0" borderId="0" xfId="1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Border="1"/>
    <xf numFmtId="0" fontId="2" fillId="2" borderId="0" xfId="0" applyFont="1" applyFill="1"/>
    <xf numFmtId="3" fontId="2" fillId="4" borderId="1" xfId="0" applyNumberFormat="1" applyFont="1" applyFill="1" applyBorder="1" applyProtection="1">
      <protection locked="0"/>
    </xf>
    <xf numFmtId="3" fontId="2" fillId="0" borderId="1" xfId="0" applyNumberFormat="1" applyFont="1" applyBorder="1"/>
    <xf numFmtId="3" fontId="2" fillId="0" borderId="0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0" fontId="2" fillId="0" borderId="4" xfId="0" applyFont="1" applyBorder="1"/>
    <xf numFmtId="4" fontId="2" fillId="0" borderId="1" xfId="0" applyNumberFormat="1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Border="1"/>
    <xf numFmtId="167" fontId="2" fillId="4" borderId="1" xfId="0" applyNumberFormat="1" applyFont="1" applyFill="1" applyBorder="1" applyProtection="1">
      <protection locked="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8" fontId="2" fillId="4" borderId="1" xfId="0" applyNumberFormat="1" applyFont="1" applyFill="1" applyBorder="1" applyProtection="1">
      <protection locked="0"/>
    </xf>
    <xf numFmtId="0" fontId="2" fillId="0" borderId="9" xfId="0" applyFont="1" applyBorder="1"/>
    <xf numFmtId="164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2" xfId="0" applyFont="1" applyBorder="1"/>
    <xf numFmtId="0" fontId="1" fillId="3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1" fillId="0" borderId="1" xfId="0" applyFont="1" applyBorder="1"/>
    <xf numFmtId="0" fontId="2" fillId="5" borderId="1" xfId="0" applyFont="1" applyFill="1" applyBorder="1" applyAlignment="1">
      <alignment horizontal="center" vertical="center" wrapText="1"/>
    </xf>
    <xf numFmtId="168" fontId="2" fillId="0" borderId="1" xfId="0" applyNumberFormat="1" applyFont="1" applyBorder="1"/>
    <xf numFmtId="16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5" xfId="0" applyNumberFormat="1" applyFont="1" applyBorder="1"/>
    <xf numFmtId="1" fontId="2" fillId="0" borderId="0" xfId="0" applyNumberFormat="1" applyFont="1"/>
    <xf numFmtId="1" fontId="2" fillId="4" borderId="1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/>
    <xf numFmtId="168" fontId="2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/>
    <xf numFmtId="4" fontId="2" fillId="0" borderId="1" xfId="0" applyNumberFormat="1" applyFont="1" applyBorder="1" applyAlignment="1" applyProtection="1">
      <alignment horizontal="center"/>
    </xf>
    <xf numFmtId="0" fontId="3" fillId="2" borderId="0" xfId="0" applyFont="1" applyFill="1"/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2" fontId="2" fillId="0" borderId="13" xfId="0" applyNumberFormat="1" applyFont="1" applyBorder="1"/>
    <xf numFmtId="2" fontId="2" fillId="0" borderId="12" xfId="0" applyNumberFormat="1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2" fontId="1" fillId="0" borderId="12" xfId="0" applyNumberFormat="1" applyFont="1" applyBorder="1"/>
    <xf numFmtId="0" fontId="1" fillId="0" borderId="13" xfId="0" applyFont="1" applyBorder="1"/>
    <xf numFmtId="4" fontId="1" fillId="0" borderId="13" xfId="0" applyNumberFormat="1" applyFont="1" applyBorder="1" applyAlignment="1">
      <alignment horizontal="right"/>
    </xf>
    <xf numFmtId="167" fontId="1" fillId="0" borderId="13" xfId="0" applyNumberFormat="1" applyFont="1" applyBorder="1" applyAlignment="1">
      <alignment horizontal="center"/>
    </xf>
    <xf numFmtId="2" fontId="1" fillId="0" borderId="13" xfId="0" applyNumberFormat="1" applyFont="1" applyBorder="1"/>
    <xf numFmtId="4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center"/>
    </xf>
    <xf numFmtId="2" fontId="2" fillId="0" borderId="0" xfId="0" applyNumberFormat="1" applyFont="1" applyBorder="1"/>
    <xf numFmtId="167" fontId="2" fillId="0" borderId="0" xfId="0" applyNumberFormat="1" applyFont="1"/>
    <xf numFmtId="4" fontId="1" fillId="0" borderId="12" xfId="0" applyNumberFormat="1" applyFont="1" applyBorder="1"/>
    <xf numFmtId="167" fontId="1" fillId="0" borderId="12" xfId="0" applyNumberFormat="1" applyFont="1" applyBorder="1" applyAlignment="1">
      <alignment horizontal="center"/>
    </xf>
    <xf numFmtId="40" fontId="1" fillId="0" borderId="13" xfId="0" applyNumberFormat="1" applyFont="1" applyBorder="1"/>
    <xf numFmtId="0" fontId="3" fillId="2" borderId="12" xfId="0" applyFont="1" applyFill="1" applyBorder="1" applyAlignment="1">
      <alignment horizontal="center"/>
    </xf>
    <xf numFmtId="170" fontId="3" fillId="2" borderId="12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center"/>
    </xf>
    <xf numFmtId="166" fontId="2" fillId="4" borderId="1" xfId="0" applyNumberFormat="1" applyFont="1" applyFill="1" applyBorder="1" applyProtection="1">
      <protection locked="0"/>
    </xf>
    <xf numFmtId="3" fontId="2" fillId="4" borderId="1" xfId="0" applyNumberFormat="1" applyFont="1" applyFill="1" applyBorder="1" applyProtection="1"/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43"/>
  <sheetViews>
    <sheetView tabSelected="1" zoomScaleNormal="100" workbookViewId="0">
      <selection activeCell="C46" sqref="C46"/>
    </sheetView>
  </sheetViews>
  <sheetFormatPr defaultRowHeight="15" x14ac:dyDescent="0.25"/>
  <cols>
    <col min="1" max="1" width="8.28515625" customWidth="1"/>
    <col min="2" max="2" width="25.7109375" customWidth="1"/>
    <col min="3" max="3" width="11.140625" customWidth="1"/>
    <col min="4" max="4" width="20.5703125" customWidth="1"/>
    <col min="5" max="5" width="27" customWidth="1"/>
    <col min="6" max="6" width="12.140625" customWidth="1"/>
    <col min="7" max="7" width="11.7109375" customWidth="1"/>
    <col min="8" max="8" width="12" customWidth="1"/>
    <col min="9" max="1024" width="8.28515625" customWidth="1"/>
  </cols>
  <sheetData>
    <row r="2" spans="1:8" x14ac:dyDescent="0.25">
      <c r="A2" s="1" t="s">
        <v>0</v>
      </c>
      <c r="B2" s="1"/>
      <c r="C2" s="1"/>
      <c r="D2" s="1"/>
      <c r="E2" s="1"/>
      <c r="F2" s="1"/>
      <c r="G2" s="1"/>
      <c r="H2" s="1"/>
    </row>
    <row r="4" spans="1:8" x14ac:dyDescent="0.25">
      <c r="B4" s="2" t="s">
        <v>1</v>
      </c>
      <c r="C4" s="2" t="s">
        <v>2</v>
      </c>
      <c r="G4" s="3" t="s">
        <v>3</v>
      </c>
    </row>
    <row r="5" spans="1:8" x14ac:dyDescent="0.25">
      <c r="A5" s="4" t="s">
        <v>4</v>
      </c>
      <c r="B5" s="4" t="s">
        <v>5</v>
      </c>
      <c r="C5" s="89"/>
    </row>
    <row r="6" spans="1:8" x14ac:dyDescent="0.25">
      <c r="A6" s="5" t="s">
        <v>6</v>
      </c>
      <c r="B6" s="4" t="s">
        <v>7</v>
      </c>
      <c r="C6" s="6"/>
    </row>
    <row r="7" spans="1:8" x14ac:dyDescent="0.25">
      <c r="A7" s="7" t="s">
        <v>8</v>
      </c>
      <c r="B7" s="4" t="s">
        <v>9</v>
      </c>
      <c r="C7" s="6"/>
    </row>
    <row r="8" spans="1:8" x14ac:dyDescent="0.25">
      <c r="A8" s="5" t="s">
        <v>10</v>
      </c>
      <c r="B8" s="4" t="s">
        <v>11</v>
      </c>
      <c r="C8" s="6"/>
    </row>
    <row r="9" spans="1:8" x14ac:dyDescent="0.25">
      <c r="A9" s="7" t="s">
        <v>8</v>
      </c>
      <c r="B9" s="4" t="s">
        <v>12</v>
      </c>
      <c r="C9" s="6"/>
    </row>
    <row r="10" spans="1:8" x14ac:dyDescent="0.25">
      <c r="D10" s="2" t="s">
        <v>13</v>
      </c>
      <c r="E10" s="2" t="s">
        <v>14</v>
      </c>
      <c r="F10" s="2" t="s">
        <v>15</v>
      </c>
    </row>
    <row r="11" spans="1:8" x14ac:dyDescent="0.25">
      <c r="A11" s="4" t="s">
        <v>16</v>
      </c>
      <c r="B11" s="4" t="s">
        <v>17</v>
      </c>
      <c r="C11" s="6"/>
      <c r="D11" s="8"/>
      <c r="E11" s="9"/>
      <c r="F11" s="8"/>
      <c r="G11" s="10"/>
    </row>
    <row r="12" spans="1:8" x14ac:dyDescent="0.25">
      <c r="A12" s="4" t="s">
        <v>18</v>
      </c>
      <c r="B12" s="4" t="s">
        <v>19</v>
      </c>
      <c r="C12" s="6"/>
      <c r="D12" s="8">
        <f>F12-E12</f>
        <v>0</v>
      </c>
      <c r="E12" s="9"/>
      <c r="F12" s="8">
        <f>C209</f>
        <v>0</v>
      </c>
      <c r="G12" s="10"/>
    </row>
    <row r="13" spans="1:8" x14ac:dyDescent="0.25">
      <c r="A13" s="4" t="s">
        <v>20</v>
      </c>
      <c r="B13" s="4" t="s">
        <v>21</v>
      </c>
      <c r="C13" s="6"/>
      <c r="D13" s="8"/>
      <c r="E13" s="9"/>
      <c r="F13" s="8"/>
      <c r="G13" s="10"/>
    </row>
    <row r="14" spans="1:8" x14ac:dyDescent="0.25">
      <c r="A14" s="4" t="s">
        <v>22</v>
      </c>
      <c r="B14" s="4" t="s">
        <v>23</v>
      </c>
      <c r="C14" s="6"/>
      <c r="D14" s="8">
        <f>F14-E14</f>
        <v>0</v>
      </c>
      <c r="E14" s="9"/>
      <c r="F14" s="8">
        <f>C211</f>
        <v>0</v>
      </c>
      <c r="G14" s="10"/>
    </row>
    <row r="15" spans="1:8" x14ac:dyDescent="0.25">
      <c r="C15" s="2" t="s">
        <v>24</v>
      </c>
      <c r="D15" s="11">
        <f>SUM(D11:D14)</f>
        <v>0</v>
      </c>
      <c r="E15" s="12">
        <f>SUM(E11:E14)</f>
        <v>0</v>
      </c>
      <c r="F15" s="11">
        <f>SUM(F11:F14)</f>
        <v>0</v>
      </c>
      <c r="G15" s="13"/>
    </row>
    <row r="17" spans="1:8" x14ac:dyDescent="0.25">
      <c r="D17" s="14"/>
    </row>
    <row r="18" spans="1:8" x14ac:dyDescent="0.25">
      <c r="B18" s="2" t="s">
        <v>25</v>
      </c>
      <c r="C18" s="2"/>
    </row>
    <row r="19" spans="1:8" x14ac:dyDescent="0.25">
      <c r="B19" s="4" t="s">
        <v>26</v>
      </c>
      <c r="C19" s="6"/>
      <c r="D19" s="15" t="s">
        <v>27</v>
      </c>
      <c r="H19" s="16"/>
    </row>
    <row r="20" spans="1:8" x14ac:dyDescent="0.25">
      <c r="B20" s="4" t="s">
        <v>28</v>
      </c>
      <c r="C20" s="6"/>
      <c r="D20" s="15" t="s">
        <v>27</v>
      </c>
      <c r="G20" s="17"/>
      <c r="H20" s="16"/>
    </row>
    <row r="21" spans="1:8" x14ac:dyDescent="0.25">
      <c r="B21" s="4" t="s">
        <v>29</v>
      </c>
      <c r="C21" s="6"/>
      <c r="D21" s="15" t="s">
        <v>27</v>
      </c>
      <c r="G21" s="17"/>
      <c r="H21" s="18"/>
    </row>
    <row r="22" spans="1:8" x14ac:dyDescent="0.25">
      <c r="B22" s="13"/>
      <c r="C22" s="19"/>
      <c r="G22" s="17"/>
      <c r="H22" s="18"/>
    </row>
    <row r="23" spans="1:8" x14ac:dyDescent="0.25">
      <c r="B23" s="4" t="s">
        <v>30</v>
      </c>
      <c r="C23" s="6"/>
      <c r="D23" s="15" t="s">
        <v>31</v>
      </c>
      <c r="G23" s="17"/>
      <c r="H23" s="18"/>
    </row>
    <row r="24" spans="1:8" x14ac:dyDescent="0.25">
      <c r="B24" s="13"/>
      <c r="C24" s="19"/>
      <c r="G24" s="17"/>
      <c r="H24" s="18"/>
    </row>
    <row r="25" spans="1:8" x14ac:dyDescent="0.25">
      <c r="B25" s="4" t="s">
        <v>32</v>
      </c>
      <c r="C25" s="6"/>
      <c r="D25" s="15" t="s">
        <v>31</v>
      </c>
    </row>
    <row r="26" spans="1:8" x14ac:dyDescent="0.25">
      <c r="B26" s="13"/>
      <c r="C26" s="19"/>
    </row>
    <row r="27" spans="1:8" x14ac:dyDescent="0.25">
      <c r="B27" s="2" t="s">
        <v>33</v>
      </c>
      <c r="C27" s="2"/>
    </row>
    <row r="28" spans="1:8" x14ac:dyDescent="0.25">
      <c r="B28" s="4" t="s">
        <v>34</v>
      </c>
      <c r="C28" s="6"/>
      <c r="D28" s="15" t="s">
        <v>35</v>
      </c>
    </row>
    <row r="29" spans="1:8" x14ac:dyDescent="0.25">
      <c r="B29" s="4" t="s">
        <v>33</v>
      </c>
      <c r="C29" s="6"/>
      <c r="D29" s="15" t="s">
        <v>35</v>
      </c>
    </row>
    <row r="32" spans="1:8" x14ac:dyDescent="0.25">
      <c r="A32" s="1" t="s">
        <v>36</v>
      </c>
      <c r="B32" s="1"/>
      <c r="C32" s="20"/>
      <c r="D32" s="20"/>
      <c r="E32" s="20"/>
      <c r="F32" s="20"/>
      <c r="G32" s="20"/>
      <c r="H32" s="20"/>
    </row>
    <row r="34" spans="1:8" x14ac:dyDescent="0.25">
      <c r="B34" s="4" t="s">
        <v>37</v>
      </c>
      <c r="C34" s="21"/>
      <c r="D34" s="15" t="s">
        <v>38</v>
      </c>
      <c r="E34" s="18"/>
    </row>
    <row r="35" spans="1:8" x14ac:dyDescent="0.25">
      <c r="B35" s="4" t="s">
        <v>39</v>
      </c>
      <c r="C35" s="90">
        <f>C34*0.04</f>
        <v>0</v>
      </c>
      <c r="D35" s="15" t="s">
        <v>38</v>
      </c>
    </row>
    <row r="36" spans="1:8" x14ac:dyDescent="0.25">
      <c r="B36" s="4" t="s">
        <v>13</v>
      </c>
      <c r="C36" s="4">
        <f>D15</f>
        <v>0</v>
      </c>
      <c r="D36" s="15" t="s">
        <v>40</v>
      </c>
    </row>
    <row r="37" spans="1:8" x14ac:dyDescent="0.25">
      <c r="B37" s="4" t="s">
        <v>14</v>
      </c>
      <c r="C37" s="4">
        <f>E15</f>
        <v>0</v>
      </c>
      <c r="D37" s="15" t="s">
        <v>40</v>
      </c>
    </row>
    <row r="38" spans="1:8" x14ac:dyDescent="0.25">
      <c r="B38" s="4" t="s">
        <v>15</v>
      </c>
      <c r="C38" s="4">
        <f>F15</f>
        <v>0</v>
      </c>
      <c r="D38" s="15" t="s">
        <v>40</v>
      </c>
    </row>
    <row r="40" spans="1:8" x14ac:dyDescent="0.25">
      <c r="B40" s="4" t="s">
        <v>41</v>
      </c>
      <c r="C40" s="22" t="e">
        <f>(C34+C35)/C36</f>
        <v>#DIV/0!</v>
      </c>
      <c r="D40" s="15" t="s">
        <v>42</v>
      </c>
    </row>
    <row r="42" spans="1:8" x14ac:dyDescent="0.25">
      <c r="A42" s="1" t="s">
        <v>43</v>
      </c>
      <c r="B42" s="20"/>
      <c r="C42" s="20"/>
      <c r="D42" s="20"/>
      <c r="E42" s="20"/>
      <c r="F42" s="20"/>
      <c r="G42" s="20"/>
      <c r="H42" s="20"/>
    </row>
    <row r="44" spans="1:8" x14ac:dyDescent="0.25">
      <c r="B44" s="4" t="s">
        <v>44</v>
      </c>
      <c r="C44" s="21"/>
      <c r="D44" s="15" t="s">
        <v>45</v>
      </c>
    </row>
    <row r="45" spans="1:8" x14ac:dyDescent="0.25">
      <c r="B45" s="4" t="s">
        <v>46</v>
      </c>
      <c r="C45" s="21"/>
      <c r="D45" s="15" t="s">
        <v>45</v>
      </c>
    </row>
    <row r="46" spans="1:8" x14ac:dyDescent="0.25">
      <c r="B46" s="4" t="s">
        <v>47</v>
      </c>
      <c r="C46" s="21">
        <v>50</v>
      </c>
      <c r="D46" s="15" t="s">
        <v>48</v>
      </c>
    </row>
    <row r="47" spans="1:8" x14ac:dyDescent="0.25">
      <c r="B47" s="4" t="s">
        <v>49</v>
      </c>
      <c r="C47" s="21"/>
      <c r="D47" s="15" t="s">
        <v>45</v>
      </c>
    </row>
    <row r="48" spans="1:8" x14ac:dyDescent="0.25">
      <c r="B48" s="4" t="s">
        <v>50</v>
      </c>
      <c r="C48" s="21">
        <v>62</v>
      </c>
      <c r="D48" s="15" t="s">
        <v>48</v>
      </c>
    </row>
    <row r="49" spans="1:8" x14ac:dyDescent="0.25">
      <c r="B49" s="4" t="s">
        <v>51</v>
      </c>
      <c r="C49" s="21">
        <f>C44+(C45*(100-C46)/100)+(C47*(100+C48)/100)</f>
        <v>0</v>
      </c>
      <c r="D49" s="15" t="s">
        <v>45</v>
      </c>
    </row>
    <row r="50" spans="1:8" x14ac:dyDescent="0.25">
      <c r="B50" s="13"/>
      <c r="C50" s="23"/>
    </row>
    <row r="51" spans="1:8" x14ac:dyDescent="0.25">
      <c r="B51" s="4" t="s">
        <v>52</v>
      </c>
      <c r="C51" s="24" t="e">
        <f>C49/(C34+C35)</f>
        <v>#DIV/0!</v>
      </c>
      <c r="D51" s="15" t="s">
        <v>53</v>
      </c>
      <c r="E51" s="25"/>
    </row>
    <row r="53" spans="1:8" x14ac:dyDescent="0.25">
      <c r="A53" s="1" t="s">
        <v>54</v>
      </c>
      <c r="B53" s="20"/>
      <c r="C53" s="20"/>
      <c r="D53" s="20"/>
      <c r="E53" s="20"/>
      <c r="F53" s="20"/>
      <c r="G53" s="20"/>
      <c r="H53" s="20"/>
    </row>
    <row r="56" spans="1:8" x14ac:dyDescent="0.25">
      <c r="C56" s="2" t="s">
        <v>55</v>
      </c>
      <c r="D56" s="2" t="s">
        <v>56</v>
      </c>
      <c r="E56" s="2" t="s">
        <v>57</v>
      </c>
      <c r="F56" s="2" t="s">
        <v>58</v>
      </c>
    </row>
    <row r="57" spans="1:8" x14ac:dyDescent="0.25">
      <c r="B57" s="26" t="s">
        <v>59</v>
      </c>
      <c r="C57" s="27">
        <f>C11</f>
        <v>0</v>
      </c>
      <c r="D57" s="27">
        <f>6*C$6</f>
        <v>0</v>
      </c>
      <c r="E57" s="27">
        <f>IF((C57-D57)&lt;0,0,C57-D57)</f>
        <v>0</v>
      </c>
      <c r="F57" s="4">
        <f>F11</f>
        <v>0</v>
      </c>
    </row>
    <row r="58" spans="1:8" x14ac:dyDescent="0.25">
      <c r="B58" s="26" t="s">
        <v>19</v>
      </c>
      <c r="C58" s="27">
        <f>C12</f>
        <v>0</v>
      </c>
      <c r="D58" s="27">
        <f>6*C$8</f>
        <v>0</v>
      </c>
      <c r="E58" s="27">
        <f>IF((C58-D58)&lt;0,0,C58-D58)</f>
        <v>0</v>
      </c>
      <c r="F58" s="4">
        <f>F12</f>
        <v>0</v>
      </c>
    </row>
    <row r="59" spans="1:8" x14ac:dyDescent="0.25">
      <c r="B59" s="26" t="s">
        <v>21</v>
      </c>
      <c r="C59" s="27">
        <f>C13</f>
        <v>0</v>
      </c>
      <c r="D59" s="27">
        <f>6*C$8</f>
        <v>0</v>
      </c>
      <c r="E59" s="27">
        <f>IF((C59-D59)&lt;0,0,C59-D59)</f>
        <v>0</v>
      </c>
      <c r="F59" s="4">
        <f>F13</f>
        <v>0</v>
      </c>
    </row>
    <row r="60" spans="1:8" x14ac:dyDescent="0.25">
      <c r="B60" s="26" t="s">
        <v>23</v>
      </c>
      <c r="C60" s="27">
        <f>C14</f>
        <v>0</v>
      </c>
      <c r="D60" s="27">
        <f>10*C$8</f>
        <v>0</v>
      </c>
      <c r="E60" s="27">
        <f>IF((C60-D60)&lt;0,0,C60-D60)</f>
        <v>0</v>
      </c>
      <c r="F60" s="4">
        <f>F14</f>
        <v>0</v>
      </c>
    </row>
    <row r="61" spans="1:8" x14ac:dyDescent="0.25">
      <c r="B61" s="13"/>
      <c r="C61" s="13"/>
      <c r="D61" s="13"/>
      <c r="E61" s="13"/>
    </row>
    <row r="62" spans="1:8" x14ac:dyDescent="0.25">
      <c r="B62" s="4" t="s">
        <v>60</v>
      </c>
      <c r="C62" s="27" t="e">
        <f>((C57*F57)+(C58*F58)+(C59*F59)+(C60*F60))/SUM(F57:F60)</f>
        <v>#DIV/0!</v>
      </c>
      <c r="D62" s="27"/>
      <c r="E62" s="27" t="e">
        <f>((E57*F57)+(E58*F58)+(E59*F59)+(E60*F60))/SUM(F57:F60)</f>
        <v>#DIV/0!</v>
      </c>
    </row>
    <row r="63" spans="1:8" x14ac:dyDescent="0.25">
      <c r="B63" s="13"/>
      <c r="C63" s="13"/>
      <c r="D63" s="13"/>
      <c r="E63" s="13"/>
    </row>
    <row r="65" spans="1:8" x14ac:dyDescent="0.25">
      <c r="A65" s="1" t="s">
        <v>61</v>
      </c>
      <c r="B65" s="20"/>
      <c r="C65" s="20"/>
      <c r="D65" s="20"/>
      <c r="E65" s="20"/>
      <c r="F65" s="20"/>
      <c r="G65" s="20"/>
      <c r="H65" s="20"/>
    </row>
    <row r="67" spans="1:8" x14ac:dyDescent="0.25">
      <c r="A67" s="28" t="s">
        <v>62</v>
      </c>
    </row>
    <row r="69" spans="1:8" x14ac:dyDescent="0.25">
      <c r="B69" s="28" t="s">
        <v>63</v>
      </c>
    </row>
    <row r="71" spans="1:8" x14ac:dyDescent="0.25">
      <c r="B71" s="29" t="s">
        <v>64</v>
      </c>
      <c r="C71" s="29" t="s">
        <v>65</v>
      </c>
      <c r="D71" s="29" t="s">
        <v>66</v>
      </c>
      <c r="E71" s="29" t="s">
        <v>67</v>
      </c>
      <c r="F71" s="2" t="s">
        <v>68</v>
      </c>
      <c r="G71" s="2"/>
      <c r="H71" s="2"/>
    </row>
    <row r="72" spans="1:8" x14ac:dyDescent="0.25">
      <c r="B72" s="29"/>
      <c r="C72" s="29"/>
      <c r="D72" s="29"/>
      <c r="E72" s="29"/>
      <c r="F72" s="2" t="s">
        <v>65</v>
      </c>
      <c r="G72" s="2"/>
      <c r="H72" s="2" t="s">
        <v>64</v>
      </c>
    </row>
    <row r="73" spans="1:8" x14ac:dyDescent="0.25">
      <c r="B73" s="26" t="s">
        <v>4</v>
      </c>
      <c r="C73" s="30"/>
      <c r="D73" s="4">
        <f>C$5</f>
        <v>0</v>
      </c>
      <c r="E73" s="31"/>
      <c r="F73" s="4"/>
      <c r="G73" s="4"/>
      <c r="H73" s="24">
        <f>E73*D73</f>
        <v>0</v>
      </c>
    </row>
    <row r="74" spans="1:8" x14ac:dyDescent="0.25">
      <c r="B74" s="26" t="s">
        <v>69</v>
      </c>
      <c r="C74" s="30"/>
      <c r="D74" s="4">
        <f>C$5</f>
        <v>0</v>
      </c>
      <c r="E74" s="31"/>
      <c r="F74" s="4"/>
      <c r="G74" s="4"/>
      <c r="H74" s="24">
        <f>E74*D74</f>
        <v>0</v>
      </c>
    </row>
    <row r="75" spans="1:8" x14ac:dyDescent="0.25">
      <c r="B75" s="32" t="s">
        <v>56</v>
      </c>
      <c r="C75" s="33"/>
      <c r="D75" s="33"/>
      <c r="E75" s="33"/>
      <c r="F75" s="33"/>
      <c r="G75" s="33"/>
      <c r="H75" s="24">
        <f>F76+F77</f>
        <v>0</v>
      </c>
    </row>
    <row r="76" spans="1:8" x14ac:dyDescent="0.25">
      <c r="B76" s="34" t="s">
        <v>6</v>
      </c>
      <c r="C76" s="4" t="s">
        <v>70</v>
      </c>
      <c r="D76" s="27">
        <f>C$6</f>
        <v>0</v>
      </c>
      <c r="E76" s="35"/>
      <c r="F76" s="24">
        <f>E76*D76</f>
        <v>0</v>
      </c>
      <c r="G76" s="36"/>
      <c r="H76" s="37"/>
    </row>
    <row r="77" spans="1:8" x14ac:dyDescent="0.25">
      <c r="B77" s="38"/>
      <c r="C77" s="4" t="s">
        <v>71</v>
      </c>
      <c r="D77" s="27">
        <f>C$7</f>
        <v>0</v>
      </c>
      <c r="E77" s="35"/>
      <c r="F77" s="4">
        <f>E77*D77</f>
        <v>0</v>
      </c>
      <c r="G77" s="39"/>
      <c r="H77" s="40"/>
    </row>
    <row r="78" spans="1:8" x14ac:dyDescent="0.25">
      <c r="B78" s="26" t="s">
        <v>72</v>
      </c>
      <c r="C78" s="30"/>
      <c r="D78" s="27">
        <f>E$57</f>
        <v>0</v>
      </c>
      <c r="E78" s="35"/>
      <c r="F78" s="4"/>
      <c r="G78" s="4"/>
      <c r="H78" s="24" t="e">
        <f>D78*E78/C40</f>
        <v>#DIV/0!</v>
      </c>
    </row>
    <row r="79" spans="1:8" x14ac:dyDescent="0.25">
      <c r="B79" s="26" t="s">
        <v>73</v>
      </c>
      <c r="C79" s="41"/>
      <c r="D79" s="41"/>
      <c r="E79" s="41"/>
      <c r="F79" s="30"/>
      <c r="G79" s="30"/>
      <c r="H79" s="24" t="e">
        <f>SUM(H73:H78)</f>
        <v>#DIV/0!</v>
      </c>
    </row>
    <row r="81" spans="2:8" x14ac:dyDescent="0.25">
      <c r="B81" s="28" t="s">
        <v>74</v>
      </c>
    </row>
    <row r="83" spans="2:8" x14ac:dyDescent="0.25">
      <c r="B83" s="29" t="s">
        <v>64</v>
      </c>
      <c r="C83" s="29" t="s">
        <v>65</v>
      </c>
      <c r="D83" s="29" t="s">
        <v>66</v>
      </c>
      <c r="E83" s="29" t="s">
        <v>67</v>
      </c>
      <c r="F83" s="2" t="s">
        <v>68</v>
      </c>
      <c r="G83" s="2"/>
      <c r="H83" s="2"/>
    </row>
    <row r="84" spans="2:8" x14ac:dyDescent="0.25">
      <c r="B84" s="29"/>
      <c r="C84" s="29"/>
      <c r="D84" s="29"/>
      <c r="E84" s="29"/>
      <c r="F84" s="2" t="s">
        <v>65</v>
      </c>
      <c r="G84" s="2"/>
      <c r="H84" s="2" t="s">
        <v>64</v>
      </c>
    </row>
    <row r="85" spans="2:8" x14ac:dyDescent="0.25">
      <c r="B85" s="26" t="s">
        <v>4</v>
      </c>
      <c r="C85" s="30"/>
      <c r="D85" s="4">
        <f>C$5</f>
        <v>0</v>
      </c>
      <c r="E85" s="31"/>
      <c r="F85" s="4"/>
      <c r="G85" s="4"/>
      <c r="H85" s="24">
        <f>E85*D85</f>
        <v>0</v>
      </c>
    </row>
    <row r="86" spans="2:8" x14ac:dyDescent="0.25">
      <c r="B86" s="26" t="s">
        <v>69</v>
      </c>
      <c r="C86" s="30"/>
      <c r="D86" s="4">
        <f>C$5</f>
        <v>0</v>
      </c>
      <c r="E86" s="31"/>
      <c r="F86" s="4"/>
      <c r="G86" s="4"/>
      <c r="H86" s="24">
        <f>E86*D86</f>
        <v>0</v>
      </c>
    </row>
    <row r="87" spans="2:8" x14ac:dyDescent="0.25">
      <c r="B87" s="32" t="s">
        <v>56</v>
      </c>
      <c r="C87" s="33"/>
      <c r="D87" s="33"/>
      <c r="E87" s="33"/>
      <c r="F87" s="33"/>
      <c r="G87" s="33"/>
      <c r="H87" s="24">
        <f>F88+F89</f>
        <v>0</v>
      </c>
    </row>
    <row r="88" spans="2:8" x14ac:dyDescent="0.25">
      <c r="B88" s="34" t="s">
        <v>10</v>
      </c>
      <c r="C88" s="4" t="s">
        <v>70</v>
      </c>
      <c r="D88" s="27">
        <f>C$8</f>
        <v>0</v>
      </c>
      <c r="E88" s="35"/>
      <c r="F88" s="24">
        <f>E88*D88</f>
        <v>0</v>
      </c>
      <c r="G88" s="36"/>
      <c r="H88" s="37"/>
    </row>
    <row r="89" spans="2:8" x14ac:dyDescent="0.25">
      <c r="B89" s="38"/>
      <c r="C89" s="4" t="s">
        <v>71</v>
      </c>
      <c r="D89" s="27">
        <f>C$9</f>
        <v>0</v>
      </c>
      <c r="E89" s="35"/>
      <c r="F89" s="24">
        <f>E89*D89</f>
        <v>0</v>
      </c>
      <c r="G89" s="39"/>
      <c r="H89" s="40"/>
    </row>
    <row r="90" spans="2:8" x14ac:dyDescent="0.25">
      <c r="B90" s="26" t="s">
        <v>72</v>
      </c>
      <c r="C90" s="30"/>
      <c r="D90" s="27">
        <f>E$58</f>
        <v>0</v>
      </c>
      <c r="E90" s="35"/>
      <c r="F90" s="4"/>
      <c r="G90" s="4"/>
      <c r="H90" s="24" t="e">
        <f>D90*E90/C40</f>
        <v>#DIV/0!</v>
      </c>
    </row>
    <row r="91" spans="2:8" x14ac:dyDescent="0.25">
      <c r="B91" s="26" t="s">
        <v>73</v>
      </c>
      <c r="C91" s="41"/>
      <c r="D91" s="41"/>
      <c r="E91" s="41"/>
      <c r="F91" s="30"/>
      <c r="G91" s="30"/>
      <c r="H91" s="24" t="e">
        <f>SUM(H85:H90)</f>
        <v>#DIV/0!</v>
      </c>
    </row>
    <row r="93" spans="2:8" x14ac:dyDescent="0.25">
      <c r="B93" s="28" t="s">
        <v>75</v>
      </c>
    </row>
    <row r="95" spans="2:8" x14ac:dyDescent="0.25">
      <c r="B95" s="29" t="s">
        <v>64</v>
      </c>
      <c r="C95" s="29" t="s">
        <v>65</v>
      </c>
      <c r="D95" s="29" t="s">
        <v>66</v>
      </c>
      <c r="E95" s="29" t="s">
        <v>67</v>
      </c>
      <c r="F95" s="2" t="s">
        <v>68</v>
      </c>
      <c r="G95" s="2"/>
      <c r="H95" s="2"/>
    </row>
    <row r="96" spans="2:8" x14ac:dyDescent="0.25">
      <c r="B96" s="29"/>
      <c r="C96" s="29"/>
      <c r="D96" s="29"/>
      <c r="E96" s="29"/>
      <c r="F96" s="2" t="s">
        <v>65</v>
      </c>
      <c r="G96" s="2"/>
      <c r="H96" s="2" t="s">
        <v>64</v>
      </c>
    </row>
    <row r="97" spans="2:8" x14ac:dyDescent="0.25">
      <c r="B97" s="26" t="s">
        <v>4</v>
      </c>
      <c r="C97" s="30"/>
      <c r="D97" s="4">
        <f>C$5</f>
        <v>0</v>
      </c>
      <c r="E97" s="31"/>
      <c r="F97" s="4"/>
      <c r="G97" s="4"/>
      <c r="H97" s="24">
        <f>E97*D97</f>
        <v>0</v>
      </c>
    </row>
    <row r="98" spans="2:8" x14ac:dyDescent="0.25">
      <c r="B98" s="26" t="s">
        <v>69</v>
      </c>
      <c r="C98" s="30"/>
      <c r="D98" s="4">
        <f>C$5</f>
        <v>0</v>
      </c>
      <c r="E98" s="31"/>
      <c r="F98" s="4"/>
      <c r="G98" s="4"/>
      <c r="H98" s="24">
        <f>E98*D98</f>
        <v>0</v>
      </c>
    </row>
    <row r="99" spans="2:8" x14ac:dyDescent="0.25">
      <c r="B99" s="32" t="s">
        <v>56</v>
      </c>
      <c r="C99" s="33"/>
      <c r="D99" s="33"/>
      <c r="E99" s="33"/>
      <c r="F99" s="33"/>
      <c r="G99" s="33"/>
      <c r="H99" s="24">
        <f>F100+F101</f>
        <v>0</v>
      </c>
    </row>
    <row r="100" spans="2:8" x14ac:dyDescent="0.25">
      <c r="B100" s="34" t="s">
        <v>10</v>
      </c>
      <c r="C100" s="4" t="s">
        <v>70</v>
      </c>
      <c r="D100" s="27">
        <f>C$8</f>
        <v>0</v>
      </c>
      <c r="E100" s="35"/>
      <c r="F100" s="24">
        <f>E100*D100</f>
        <v>0</v>
      </c>
      <c r="G100" s="36"/>
      <c r="H100" s="37"/>
    </row>
    <row r="101" spans="2:8" x14ac:dyDescent="0.25">
      <c r="B101" s="38"/>
      <c r="C101" s="4" t="s">
        <v>71</v>
      </c>
      <c r="D101" s="27">
        <f>C$9</f>
        <v>0</v>
      </c>
      <c r="E101" s="35"/>
      <c r="F101" s="24">
        <f>E101*D101</f>
        <v>0</v>
      </c>
      <c r="G101" s="39"/>
      <c r="H101" s="40"/>
    </row>
    <row r="102" spans="2:8" x14ac:dyDescent="0.25">
      <c r="B102" s="26" t="s">
        <v>72</v>
      </c>
      <c r="C102" s="30"/>
      <c r="D102" s="27">
        <f>E$59</f>
        <v>0</v>
      </c>
      <c r="E102" s="35"/>
      <c r="F102" s="4"/>
      <c r="G102" s="4"/>
      <c r="H102" s="24" t="e">
        <f>D102*E102/C40</f>
        <v>#DIV/0!</v>
      </c>
    </row>
    <row r="103" spans="2:8" x14ac:dyDescent="0.25">
      <c r="B103" s="26" t="s">
        <v>73</v>
      </c>
      <c r="C103" s="41"/>
      <c r="D103" s="41"/>
      <c r="E103" s="41"/>
      <c r="F103" s="30"/>
      <c r="G103" s="30"/>
      <c r="H103" s="24" t="e">
        <f>SUM(H97:H102)</f>
        <v>#DIV/0!</v>
      </c>
    </row>
    <row r="105" spans="2:8" x14ac:dyDescent="0.25">
      <c r="B105" s="28" t="s">
        <v>76</v>
      </c>
    </row>
    <row r="107" spans="2:8" x14ac:dyDescent="0.25">
      <c r="B107" s="29" t="s">
        <v>64</v>
      </c>
      <c r="C107" s="29" t="s">
        <v>65</v>
      </c>
      <c r="D107" s="29" t="s">
        <v>66</v>
      </c>
      <c r="E107" s="29" t="s">
        <v>67</v>
      </c>
      <c r="F107" s="2" t="s">
        <v>68</v>
      </c>
      <c r="G107" s="2"/>
      <c r="H107" s="2"/>
    </row>
    <row r="108" spans="2:8" x14ac:dyDescent="0.25">
      <c r="B108" s="29"/>
      <c r="C108" s="29"/>
      <c r="D108" s="29"/>
      <c r="E108" s="29"/>
      <c r="F108" s="2" t="s">
        <v>65</v>
      </c>
      <c r="G108" s="2"/>
      <c r="H108" s="2" t="s">
        <v>64</v>
      </c>
    </row>
    <row r="109" spans="2:8" x14ac:dyDescent="0.25">
      <c r="B109" s="26" t="s">
        <v>4</v>
      </c>
      <c r="C109" s="30"/>
      <c r="D109" s="4">
        <f>C$5</f>
        <v>0</v>
      </c>
      <c r="E109" s="31"/>
      <c r="F109" s="4"/>
      <c r="G109" s="4"/>
      <c r="H109" s="24">
        <f>E109*D109</f>
        <v>0</v>
      </c>
    </row>
    <row r="110" spans="2:8" x14ac:dyDescent="0.25">
      <c r="B110" s="26" t="s">
        <v>69</v>
      </c>
      <c r="C110" s="30"/>
      <c r="D110" s="4">
        <f>C$5</f>
        <v>0</v>
      </c>
      <c r="E110" s="31"/>
      <c r="F110" s="4"/>
      <c r="G110" s="4"/>
      <c r="H110" s="24">
        <f>E110*D110</f>
        <v>0</v>
      </c>
    </row>
    <row r="111" spans="2:8" x14ac:dyDescent="0.25">
      <c r="B111" s="32" t="s">
        <v>56</v>
      </c>
      <c r="C111" s="33"/>
      <c r="D111" s="33"/>
      <c r="E111" s="33"/>
      <c r="F111" s="33"/>
      <c r="G111" s="33"/>
      <c r="H111" s="24">
        <f>F112+F113</f>
        <v>0</v>
      </c>
    </row>
    <row r="112" spans="2:8" x14ac:dyDescent="0.25">
      <c r="B112" s="34" t="s">
        <v>10</v>
      </c>
      <c r="C112" s="4" t="s">
        <v>70</v>
      </c>
      <c r="D112" s="27">
        <f>C$8</f>
        <v>0</v>
      </c>
      <c r="E112" s="35"/>
      <c r="F112" s="24">
        <f>E112*D112</f>
        <v>0</v>
      </c>
      <c r="G112" s="36"/>
      <c r="H112" s="37"/>
    </row>
    <row r="113" spans="2:9" x14ac:dyDescent="0.25">
      <c r="B113" s="38"/>
      <c r="C113" s="4" t="s">
        <v>71</v>
      </c>
      <c r="D113" s="27">
        <f>C$9</f>
        <v>0</v>
      </c>
      <c r="E113" s="35"/>
      <c r="F113" s="24">
        <f>E113*D113</f>
        <v>0</v>
      </c>
      <c r="G113" s="39"/>
      <c r="H113" s="40"/>
    </row>
    <row r="114" spans="2:9" x14ac:dyDescent="0.25">
      <c r="B114" s="26" t="s">
        <v>72</v>
      </c>
      <c r="C114" s="30"/>
      <c r="D114" s="27">
        <f>E$60</f>
        <v>0</v>
      </c>
      <c r="E114" s="35"/>
      <c r="F114" s="4"/>
      <c r="G114" s="4"/>
      <c r="H114" s="24" t="e">
        <f>D114*E114/C40</f>
        <v>#DIV/0!</v>
      </c>
    </row>
    <row r="115" spans="2:9" x14ac:dyDescent="0.25">
      <c r="B115" s="26" t="s">
        <v>73</v>
      </c>
      <c r="C115" s="41"/>
      <c r="D115" s="41"/>
      <c r="E115" s="41"/>
      <c r="F115" s="30"/>
      <c r="G115" s="30"/>
      <c r="H115" s="24" t="e">
        <f>SUM(H109:H114)</f>
        <v>#DIV/0!</v>
      </c>
    </row>
    <row r="117" spans="2:9" x14ac:dyDescent="0.25">
      <c r="B117" s="28" t="s">
        <v>77</v>
      </c>
    </row>
    <row r="119" spans="2:9" ht="25.5" x14ac:dyDescent="0.25">
      <c r="B119" s="29" t="s">
        <v>78</v>
      </c>
      <c r="C119" s="29" t="s">
        <v>4</v>
      </c>
      <c r="D119" s="29" t="s">
        <v>69</v>
      </c>
      <c r="E119" s="29" t="s">
        <v>8</v>
      </c>
      <c r="F119" s="42" t="s">
        <v>79</v>
      </c>
      <c r="G119" s="29" t="s">
        <v>58</v>
      </c>
    </row>
    <row r="120" spans="2:9" x14ac:dyDescent="0.25">
      <c r="I120" s="43"/>
    </row>
    <row r="121" spans="2:9" x14ac:dyDescent="0.25">
      <c r="B121" s="4" t="s">
        <v>17</v>
      </c>
      <c r="C121" s="24">
        <f>H73</f>
        <v>0</v>
      </c>
      <c r="D121" s="24">
        <f>H74</f>
        <v>0</v>
      </c>
      <c r="E121" s="24">
        <f>H75</f>
        <v>0</v>
      </c>
      <c r="F121" s="24" t="e">
        <f>H78</f>
        <v>#DIV/0!</v>
      </c>
      <c r="G121" s="4">
        <f>F11</f>
        <v>0</v>
      </c>
      <c r="I121" s="43"/>
    </row>
    <row r="122" spans="2:9" x14ac:dyDescent="0.25">
      <c r="B122" s="4" t="s">
        <v>19</v>
      </c>
      <c r="C122" s="24">
        <f>H85</f>
        <v>0</v>
      </c>
      <c r="D122" s="24">
        <f>H86</f>
        <v>0</v>
      </c>
      <c r="E122" s="24">
        <f>H87</f>
        <v>0</v>
      </c>
      <c r="F122" s="24" t="e">
        <f>H90</f>
        <v>#DIV/0!</v>
      </c>
      <c r="G122" s="4">
        <f>F12</f>
        <v>0</v>
      </c>
      <c r="I122" s="43"/>
    </row>
    <row r="123" spans="2:9" x14ac:dyDescent="0.25">
      <c r="B123" s="4" t="s">
        <v>21</v>
      </c>
      <c r="C123" s="24">
        <f>H97</f>
        <v>0</v>
      </c>
      <c r="D123" s="24">
        <f>H98</f>
        <v>0</v>
      </c>
      <c r="E123" s="24">
        <f>H99</f>
        <v>0</v>
      </c>
      <c r="F123" s="24" t="e">
        <f>H102</f>
        <v>#DIV/0!</v>
      </c>
      <c r="G123" s="4">
        <f>F13</f>
        <v>0</v>
      </c>
      <c r="I123" s="43"/>
    </row>
    <row r="124" spans="2:9" x14ac:dyDescent="0.25">
      <c r="B124" s="4" t="s">
        <v>23</v>
      </c>
      <c r="C124" s="24">
        <f>H109</f>
        <v>0</v>
      </c>
      <c r="D124" s="24">
        <f>H110</f>
        <v>0</v>
      </c>
      <c r="E124" s="24">
        <f>H111</f>
        <v>0</v>
      </c>
      <c r="F124" s="24" t="e">
        <f>H114</f>
        <v>#DIV/0!</v>
      </c>
      <c r="G124" s="4">
        <v>0</v>
      </c>
    </row>
    <row r="126" spans="2:9" x14ac:dyDescent="0.25">
      <c r="B126" s="4" t="s">
        <v>80</v>
      </c>
      <c r="C126" s="24" t="e">
        <f>((C121*$G121)+(C122*$G122)+(C123*$G123)+(C124*$G124))/$F$15</f>
        <v>#DIV/0!</v>
      </c>
      <c r="D126" s="24" t="e">
        <f>((D121*$G121)+(D122*$G122)+(D123*$G123)+(D124*$G124))/$F$15</f>
        <v>#DIV/0!</v>
      </c>
      <c r="E126" s="24" t="e">
        <f>((E121*$G121)+(E122*$G122)+(E123*$G123)+(E124*$G124))/$F$15</f>
        <v>#DIV/0!</v>
      </c>
      <c r="F126" s="24" t="e">
        <f>((F121*$G121)+(F122*$G122)+(F123*$G123)+(F124*$G124))/$F$15</f>
        <v>#DIV/0!</v>
      </c>
    </row>
    <row r="129" spans="1:8" x14ac:dyDescent="0.25">
      <c r="A129" s="1" t="s">
        <v>81</v>
      </c>
      <c r="B129" s="20"/>
      <c r="C129" s="20"/>
      <c r="D129" s="20"/>
      <c r="E129" s="20"/>
      <c r="F129" s="20"/>
      <c r="G129" s="20"/>
      <c r="H129" s="20"/>
    </row>
    <row r="132" spans="1:8" x14ac:dyDescent="0.25">
      <c r="B132" s="28" t="s">
        <v>82</v>
      </c>
    </row>
    <row r="134" spans="1:8" x14ac:dyDescent="0.25">
      <c r="B134" s="15" t="s">
        <v>83</v>
      </c>
    </row>
    <row r="136" spans="1:8" x14ac:dyDescent="0.25">
      <c r="B136" s="44" t="s">
        <v>84</v>
      </c>
      <c r="C136" s="9"/>
    </row>
    <row r="138" spans="1:8" ht="25.5" x14ac:dyDescent="0.25">
      <c r="C138" s="45" t="s">
        <v>85</v>
      </c>
      <c r="D138" s="45" t="s">
        <v>86</v>
      </c>
      <c r="E138" s="45" t="s">
        <v>87</v>
      </c>
      <c r="F138" s="45" t="s">
        <v>88</v>
      </c>
    </row>
    <row r="139" spans="1:8" x14ac:dyDescent="0.25">
      <c r="C139" s="11" t="s">
        <v>89</v>
      </c>
      <c r="D139" s="9"/>
      <c r="E139" s="46">
        <f>8/36*(1-(C$136/100))</f>
        <v>0.22222222222222221</v>
      </c>
      <c r="F139" s="46">
        <f t="shared" ref="F139:F146" si="0">E139*D139</f>
        <v>0</v>
      </c>
    </row>
    <row r="140" spans="1:8" x14ac:dyDescent="0.25">
      <c r="C140" s="47" t="s">
        <v>90</v>
      </c>
      <c r="D140" s="9"/>
      <c r="E140" s="46">
        <f>7/36*(1-(C$136/100))</f>
        <v>0.19444444444444445</v>
      </c>
      <c r="F140" s="46">
        <f t="shared" si="0"/>
        <v>0</v>
      </c>
    </row>
    <row r="141" spans="1:8" x14ac:dyDescent="0.25">
      <c r="C141" s="11" t="s">
        <v>91</v>
      </c>
      <c r="D141" s="9"/>
      <c r="E141" s="46">
        <f>6/36*(1-(C$136/100))</f>
        <v>0.16666666666666666</v>
      </c>
      <c r="F141" s="46">
        <f t="shared" si="0"/>
        <v>0</v>
      </c>
    </row>
    <row r="142" spans="1:8" x14ac:dyDescent="0.25">
      <c r="C142" s="11" t="s">
        <v>92</v>
      </c>
      <c r="D142" s="9"/>
      <c r="E142" s="46">
        <f>5/36*(1-(C$136/100))</f>
        <v>0.1388888888888889</v>
      </c>
      <c r="F142" s="46">
        <f t="shared" si="0"/>
        <v>0</v>
      </c>
    </row>
    <row r="143" spans="1:8" x14ac:dyDescent="0.25">
      <c r="C143" s="11" t="s">
        <v>93</v>
      </c>
      <c r="D143" s="9"/>
      <c r="E143" s="46">
        <f>4/36*(1-(C$136/100))</f>
        <v>0.1111111111111111</v>
      </c>
      <c r="F143" s="46">
        <f t="shared" si="0"/>
        <v>0</v>
      </c>
    </row>
    <row r="144" spans="1:8" x14ac:dyDescent="0.25">
      <c r="C144" s="11" t="s">
        <v>94</v>
      </c>
      <c r="D144" s="9"/>
      <c r="E144" s="46">
        <f>3/36*(1-(C$136/100))</f>
        <v>8.3333333333333329E-2</v>
      </c>
      <c r="F144" s="46">
        <f t="shared" si="0"/>
        <v>0</v>
      </c>
    </row>
    <row r="145" spans="2:7" x14ac:dyDescent="0.25">
      <c r="C145" s="11" t="s">
        <v>95</v>
      </c>
      <c r="D145" s="9"/>
      <c r="E145" s="46">
        <f>2/36*(1-(C$136/100))</f>
        <v>5.5555555555555552E-2</v>
      </c>
      <c r="F145" s="46">
        <f t="shared" si="0"/>
        <v>0</v>
      </c>
    </row>
    <row r="146" spans="2:7" x14ac:dyDescent="0.25">
      <c r="C146" s="11" t="s">
        <v>96</v>
      </c>
      <c r="D146" s="9"/>
      <c r="E146" s="46">
        <f>1/36*(1-(C$136/100))</f>
        <v>2.7777777777777776E-2</v>
      </c>
      <c r="F146" s="46">
        <f t="shared" si="0"/>
        <v>0</v>
      </c>
    </row>
    <row r="148" spans="2:7" x14ac:dyDescent="0.25">
      <c r="C148" s="48" t="s">
        <v>24</v>
      </c>
      <c r="D148" s="8">
        <f>SUM(D139:D146)</f>
        <v>0</v>
      </c>
      <c r="E148" s="49">
        <f>SUM(E139:E147)</f>
        <v>1</v>
      </c>
      <c r="F148" s="46">
        <f>SUM(F139:F146)</f>
        <v>0</v>
      </c>
      <c r="G148" s="50"/>
    </row>
    <row r="149" spans="2:7" x14ac:dyDescent="0.25">
      <c r="C149" s="17"/>
    </row>
    <row r="150" spans="2:7" x14ac:dyDescent="0.25">
      <c r="B150" s="15" t="s">
        <v>97</v>
      </c>
    </row>
    <row r="152" spans="2:7" x14ac:dyDescent="0.25">
      <c r="B152" s="44" t="s">
        <v>84</v>
      </c>
      <c r="C152" s="9"/>
    </row>
    <row r="154" spans="2:7" ht="25.5" x14ac:dyDescent="0.25">
      <c r="C154" s="45" t="s">
        <v>85</v>
      </c>
      <c r="D154" s="45" t="s">
        <v>86</v>
      </c>
      <c r="E154" s="45" t="s">
        <v>87</v>
      </c>
      <c r="F154" s="45" t="s">
        <v>88</v>
      </c>
    </row>
    <row r="155" spans="2:7" x14ac:dyDescent="0.25">
      <c r="C155" s="11" t="s">
        <v>89</v>
      </c>
      <c r="D155" s="9"/>
      <c r="E155" s="46">
        <f>10/55*(1-(C$152/100))</f>
        <v>0.18181818181818182</v>
      </c>
      <c r="F155" s="46">
        <f t="shared" ref="F155:F164" si="1">E155*D155</f>
        <v>0</v>
      </c>
    </row>
    <row r="156" spans="2:7" x14ac:dyDescent="0.25">
      <c r="C156" s="47" t="s">
        <v>90</v>
      </c>
      <c r="D156" s="9"/>
      <c r="E156" s="46">
        <f>9/55*(1-(C$152/100))</f>
        <v>0.16363636363636364</v>
      </c>
      <c r="F156" s="46">
        <f t="shared" si="1"/>
        <v>0</v>
      </c>
    </row>
    <row r="157" spans="2:7" x14ac:dyDescent="0.25">
      <c r="C157" s="11" t="s">
        <v>91</v>
      </c>
      <c r="D157" s="9"/>
      <c r="E157" s="46">
        <f>8/55*(1-(C$152/100))</f>
        <v>0.14545454545454545</v>
      </c>
      <c r="F157" s="46">
        <f t="shared" si="1"/>
        <v>0</v>
      </c>
    </row>
    <row r="158" spans="2:7" x14ac:dyDescent="0.25">
      <c r="C158" s="11" t="s">
        <v>92</v>
      </c>
      <c r="D158" s="9"/>
      <c r="E158" s="46">
        <f>7/55*(1-(C$152/100))</f>
        <v>0.12727272727272726</v>
      </c>
      <c r="F158" s="46">
        <f t="shared" si="1"/>
        <v>0</v>
      </c>
    </row>
    <row r="159" spans="2:7" x14ac:dyDescent="0.25">
      <c r="C159" s="11" t="s">
        <v>93</v>
      </c>
      <c r="D159" s="9"/>
      <c r="E159" s="46">
        <f>6/55*(1-(C$152/100))</f>
        <v>0.10909090909090909</v>
      </c>
      <c r="F159" s="46">
        <f t="shared" si="1"/>
        <v>0</v>
      </c>
    </row>
    <row r="160" spans="2:7" x14ac:dyDescent="0.25">
      <c r="C160" s="11" t="s">
        <v>94</v>
      </c>
      <c r="D160" s="9"/>
      <c r="E160" s="46">
        <f>5/55*(1-(C$152/100))</f>
        <v>9.0909090909090912E-2</v>
      </c>
      <c r="F160" s="46">
        <f t="shared" si="1"/>
        <v>0</v>
      </c>
    </row>
    <row r="161" spans="2:6" x14ac:dyDescent="0.25">
      <c r="C161" s="11" t="s">
        <v>95</v>
      </c>
      <c r="D161" s="9"/>
      <c r="E161" s="46">
        <f>4/55*(1-(C$152/100))</f>
        <v>7.2727272727272724E-2</v>
      </c>
      <c r="F161" s="46">
        <f t="shared" si="1"/>
        <v>0</v>
      </c>
    </row>
    <row r="162" spans="2:6" x14ac:dyDescent="0.25">
      <c r="C162" s="11" t="s">
        <v>96</v>
      </c>
      <c r="D162" s="9"/>
      <c r="E162" s="46">
        <f>3/55*(1-(C$152/100))</f>
        <v>5.4545454545454543E-2</v>
      </c>
      <c r="F162" s="46">
        <f t="shared" si="1"/>
        <v>0</v>
      </c>
    </row>
    <row r="163" spans="2:6" x14ac:dyDescent="0.25">
      <c r="C163" s="11" t="s">
        <v>98</v>
      </c>
      <c r="D163" s="9"/>
      <c r="E163" s="46">
        <f>2/55*(1-(C$152/100))</f>
        <v>3.6363636363636362E-2</v>
      </c>
      <c r="F163" s="46">
        <f t="shared" si="1"/>
        <v>0</v>
      </c>
    </row>
    <row r="164" spans="2:6" x14ac:dyDescent="0.25">
      <c r="C164" s="11" t="s">
        <v>99</v>
      </c>
      <c r="D164" s="9"/>
      <c r="E164" s="46">
        <f>1/55*(1-(C$152/100))</f>
        <v>1.8181818181818181E-2</v>
      </c>
      <c r="F164" s="46">
        <f t="shared" si="1"/>
        <v>0</v>
      </c>
    </row>
    <row r="166" spans="2:6" x14ac:dyDescent="0.25">
      <c r="C166" s="48" t="s">
        <v>24</v>
      </c>
      <c r="D166" s="8">
        <f>SUM(D155:D164)</f>
        <v>0</v>
      </c>
      <c r="E166" s="49">
        <f>SUM(E155:E165)</f>
        <v>1</v>
      </c>
      <c r="F166" s="46">
        <f>SUM(F155:F164)</f>
        <v>0</v>
      </c>
    </row>
    <row r="168" spans="2:6" x14ac:dyDescent="0.25">
      <c r="B168" s="15" t="s">
        <v>100</v>
      </c>
    </row>
    <row r="170" spans="2:6" x14ac:dyDescent="0.25">
      <c r="B170" s="44" t="s">
        <v>84</v>
      </c>
      <c r="C170" s="9"/>
    </row>
    <row r="172" spans="2:6" ht="25.5" x14ac:dyDescent="0.25">
      <c r="C172" s="45" t="s">
        <v>85</v>
      </c>
      <c r="D172" s="45" t="s">
        <v>86</v>
      </c>
      <c r="E172" s="45" t="s">
        <v>87</v>
      </c>
      <c r="F172" s="45" t="s">
        <v>88</v>
      </c>
    </row>
    <row r="173" spans="2:6" x14ac:dyDescent="0.25">
      <c r="C173" s="11" t="s">
        <v>89</v>
      </c>
      <c r="D173" s="51"/>
      <c r="E173" s="46">
        <f>10/55*(1-(C$170/100))</f>
        <v>0.18181818181818182</v>
      </c>
      <c r="F173" s="46">
        <f t="shared" ref="F173:F182" si="2">E173*D173</f>
        <v>0</v>
      </c>
    </row>
    <row r="174" spans="2:6" x14ac:dyDescent="0.25">
      <c r="C174" s="47" t="s">
        <v>90</v>
      </c>
      <c r="D174" s="51"/>
      <c r="E174" s="46">
        <f>9/55*(1-(C$170/100))</f>
        <v>0.16363636363636364</v>
      </c>
      <c r="F174" s="46">
        <f t="shared" si="2"/>
        <v>0</v>
      </c>
    </row>
    <row r="175" spans="2:6" x14ac:dyDescent="0.25">
      <c r="C175" s="11" t="s">
        <v>91</v>
      </c>
      <c r="D175" s="51"/>
      <c r="E175" s="46">
        <f>8/55*(1-(C$170/100))</f>
        <v>0.14545454545454545</v>
      </c>
      <c r="F175" s="46">
        <f t="shared" si="2"/>
        <v>0</v>
      </c>
    </row>
    <row r="176" spans="2:6" x14ac:dyDescent="0.25">
      <c r="C176" s="11" t="s">
        <v>92</v>
      </c>
      <c r="D176" s="51"/>
      <c r="E176" s="46">
        <f>7/55*(1-(C$170/100))</f>
        <v>0.12727272727272726</v>
      </c>
      <c r="F176" s="46">
        <f t="shared" si="2"/>
        <v>0</v>
      </c>
    </row>
    <row r="177" spans="2:8" x14ac:dyDescent="0.25">
      <c r="C177" s="11" t="s">
        <v>93</v>
      </c>
      <c r="D177" s="51"/>
      <c r="E177" s="46">
        <f>6/55*(1-(C$170/100))</f>
        <v>0.10909090909090909</v>
      </c>
      <c r="F177" s="46">
        <f t="shared" si="2"/>
        <v>0</v>
      </c>
    </row>
    <row r="178" spans="2:8" x14ac:dyDescent="0.25">
      <c r="C178" s="11" t="s">
        <v>94</v>
      </c>
      <c r="D178" s="51"/>
      <c r="E178" s="46">
        <f>5/55*(1-(C$170/100))</f>
        <v>9.0909090909090912E-2</v>
      </c>
      <c r="F178" s="46">
        <f t="shared" si="2"/>
        <v>0</v>
      </c>
    </row>
    <row r="179" spans="2:8" x14ac:dyDescent="0.25">
      <c r="C179" s="11" t="s">
        <v>95</v>
      </c>
      <c r="D179" s="51"/>
      <c r="E179" s="46">
        <f>4/55*(1-(C$170/100))</f>
        <v>7.2727272727272724E-2</v>
      </c>
      <c r="F179" s="46">
        <f t="shared" si="2"/>
        <v>0</v>
      </c>
    </row>
    <row r="180" spans="2:8" x14ac:dyDescent="0.25">
      <c r="C180" s="11" t="s">
        <v>96</v>
      </c>
      <c r="D180" s="51"/>
      <c r="E180" s="46">
        <f>3/55*(1-(C$170/100))</f>
        <v>5.4545454545454543E-2</v>
      </c>
      <c r="F180" s="46">
        <f t="shared" si="2"/>
        <v>0</v>
      </c>
    </row>
    <row r="181" spans="2:8" x14ac:dyDescent="0.25">
      <c r="C181" s="11" t="s">
        <v>98</v>
      </c>
      <c r="D181" s="51"/>
      <c r="E181" s="46">
        <f>2/55*(1-(C$170/100))</f>
        <v>3.6363636363636362E-2</v>
      </c>
      <c r="F181" s="46">
        <f t="shared" si="2"/>
        <v>0</v>
      </c>
    </row>
    <row r="182" spans="2:8" x14ac:dyDescent="0.25">
      <c r="C182" s="11" t="s">
        <v>99</v>
      </c>
      <c r="D182" s="51"/>
      <c r="E182" s="46">
        <f>1/55*(1-(C$170/100))</f>
        <v>1.8181818181818181E-2</v>
      </c>
      <c r="F182" s="46">
        <f t="shared" si="2"/>
        <v>0</v>
      </c>
    </row>
    <row r="184" spans="2:8" x14ac:dyDescent="0.25">
      <c r="C184" s="48" t="s">
        <v>24</v>
      </c>
      <c r="D184" s="8">
        <f>SUM(D173:D182)</f>
        <v>0</v>
      </c>
      <c r="E184" s="49">
        <f>SUM(E173:E182)</f>
        <v>1</v>
      </c>
      <c r="F184" s="46">
        <f>SUM(F173:F182)</f>
        <v>0</v>
      </c>
      <c r="H184" s="52"/>
    </row>
    <row r="186" spans="2:8" x14ac:dyDescent="0.25">
      <c r="B186" s="15" t="s">
        <v>101</v>
      </c>
    </row>
    <row r="188" spans="2:8" x14ac:dyDescent="0.25">
      <c r="B188" s="44" t="s">
        <v>84</v>
      </c>
      <c r="C188" s="51"/>
    </row>
    <row r="190" spans="2:8" ht="25.5" x14ac:dyDescent="0.25">
      <c r="C190" s="45" t="s">
        <v>85</v>
      </c>
      <c r="D190" s="45" t="s">
        <v>86</v>
      </c>
      <c r="E190" s="45" t="s">
        <v>87</v>
      </c>
      <c r="F190" s="45" t="s">
        <v>88</v>
      </c>
    </row>
    <row r="191" spans="2:8" x14ac:dyDescent="0.25">
      <c r="C191" s="11" t="s">
        <v>89</v>
      </c>
      <c r="D191" s="51"/>
      <c r="E191" s="46">
        <f>10/55*(1-(C$188/100))</f>
        <v>0.18181818181818182</v>
      </c>
      <c r="F191" s="46">
        <f t="shared" ref="F191:F200" si="3">E191*D191</f>
        <v>0</v>
      </c>
    </row>
    <row r="192" spans="2:8" x14ac:dyDescent="0.25">
      <c r="C192" s="47" t="s">
        <v>90</v>
      </c>
      <c r="D192" s="51"/>
      <c r="E192" s="46">
        <f>9/55*(1-(C$188/100))</f>
        <v>0.16363636363636364</v>
      </c>
      <c r="F192" s="46">
        <f t="shared" si="3"/>
        <v>0</v>
      </c>
    </row>
    <row r="193" spans="2:6" x14ac:dyDescent="0.25">
      <c r="C193" s="11" t="s">
        <v>91</v>
      </c>
      <c r="D193" s="51"/>
      <c r="E193" s="46">
        <f>8/55*(1-(C$188/100))</f>
        <v>0.14545454545454545</v>
      </c>
      <c r="F193" s="46">
        <f t="shared" si="3"/>
        <v>0</v>
      </c>
    </row>
    <row r="194" spans="2:6" x14ac:dyDescent="0.25">
      <c r="C194" s="11" t="s">
        <v>92</v>
      </c>
      <c r="D194" s="51"/>
      <c r="E194" s="46">
        <f>7/55*(1-(C$188/100))</f>
        <v>0.12727272727272726</v>
      </c>
      <c r="F194" s="46">
        <f t="shared" si="3"/>
        <v>0</v>
      </c>
    </row>
    <row r="195" spans="2:6" x14ac:dyDescent="0.25">
      <c r="C195" s="11" t="s">
        <v>93</v>
      </c>
      <c r="D195" s="51"/>
      <c r="E195" s="46">
        <f>6/55*(1-(C$188/100))</f>
        <v>0.10909090909090909</v>
      </c>
      <c r="F195" s="46">
        <f t="shared" si="3"/>
        <v>0</v>
      </c>
    </row>
    <row r="196" spans="2:6" x14ac:dyDescent="0.25">
      <c r="C196" s="11" t="s">
        <v>94</v>
      </c>
      <c r="D196" s="51"/>
      <c r="E196" s="46">
        <f>5/55*(1-(C$188/100))</f>
        <v>9.0909090909090912E-2</v>
      </c>
      <c r="F196" s="46">
        <f t="shared" si="3"/>
        <v>0</v>
      </c>
    </row>
    <row r="197" spans="2:6" x14ac:dyDescent="0.25">
      <c r="C197" s="11" t="s">
        <v>95</v>
      </c>
      <c r="D197" s="51"/>
      <c r="E197" s="46">
        <f>4/55*(1-(C$188/100))</f>
        <v>7.2727272727272724E-2</v>
      </c>
      <c r="F197" s="46">
        <f t="shared" si="3"/>
        <v>0</v>
      </c>
    </row>
    <row r="198" spans="2:6" x14ac:dyDescent="0.25">
      <c r="C198" s="11" t="s">
        <v>96</v>
      </c>
      <c r="D198" s="51"/>
      <c r="E198" s="46">
        <f>3/55*(1-(C$188/100))</f>
        <v>5.4545454545454543E-2</v>
      </c>
      <c r="F198" s="46">
        <f t="shared" si="3"/>
        <v>0</v>
      </c>
    </row>
    <row r="199" spans="2:6" x14ac:dyDescent="0.25">
      <c r="C199" s="11" t="s">
        <v>98</v>
      </c>
      <c r="D199" s="51"/>
      <c r="E199" s="46">
        <f>2/55*(1-(C$188/100))</f>
        <v>3.6363636363636362E-2</v>
      </c>
      <c r="F199" s="46">
        <f t="shared" si="3"/>
        <v>0</v>
      </c>
    </row>
    <row r="200" spans="2:6" x14ac:dyDescent="0.25">
      <c r="C200" s="11" t="s">
        <v>99</v>
      </c>
      <c r="D200" s="51"/>
      <c r="E200" s="46">
        <f>1/55*(1-(C$188/100))</f>
        <v>1.8181818181818181E-2</v>
      </c>
      <c r="F200" s="46">
        <f t="shared" si="3"/>
        <v>0</v>
      </c>
    </row>
    <row r="202" spans="2:6" x14ac:dyDescent="0.25">
      <c r="C202" s="48" t="s">
        <v>24</v>
      </c>
      <c r="D202" s="8">
        <f>SUM(D191:D201)</f>
        <v>0</v>
      </c>
      <c r="E202" s="49">
        <f>SUM(E191:E201)</f>
        <v>1</v>
      </c>
      <c r="F202" s="46">
        <f>SUM(F191:F201)</f>
        <v>0</v>
      </c>
    </row>
    <row r="204" spans="2:6" x14ac:dyDescent="0.25">
      <c r="D204" s="53"/>
    </row>
    <row r="206" spans="2:6" x14ac:dyDescent="0.25">
      <c r="B206" s="54" t="s">
        <v>78</v>
      </c>
      <c r="C206" s="45" t="s">
        <v>86</v>
      </c>
      <c r="D206" s="45" t="s">
        <v>88</v>
      </c>
      <c r="E206" s="45" t="s">
        <v>102</v>
      </c>
      <c r="F206" s="45" t="s">
        <v>103</v>
      </c>
    </row>
    <row r="208" spans="2:6" x14ac:dyDescent="0.25">
      <c r="B208" s="4" t="s">
        <v>17</v>
      </c>
      <c r="C208" s="8">
        <f>D$148</f>
        <v>0</v>
      </c>
      <c r="D208" s="55">
        <f>F148</f>
        <v>0</v>
      </c>
      <c r="E208" s="27">
        <f>C11</f>
        <v>0</v>
      </c>
      <c r="F208" s="27">
        <f>E208*D208</f>
        <v>0</v>
      </c>
    </row>
    <row r="209" spans="2:6" x14ac:dyDescent="0.25">
      <c r="B209" s="4" t="s">
        <v>19</v>
      </c>
      <c r="C209" s="8">
        <f>D$166</f>
        <v>0</v>
      </c>
      <c r="D209" s="55">
        <f>F166</f>
        <v>0</v>
      </c>
      <c r="E209" s="27">
        <f>C12</f>
        <v>0</v>
      </c>
      <c r="F209" s="27">
        <f>E209*D209</f>
        <v>0</v>
      </c>
    </row>
    <row r="210" spans="2:6" x14ac:dyDescent="0.25">
      <c r="B210" s="4" t="s">
        <v>21</v>
      </c>
      <c r="C210" s="8">
        <f>D$184</f>
        <v>0</v>
      </c>
      <c r="D210" s="55">
        <f>F184</f>
        <v>0</v>
      </c>
      <c r="E210" s="27">
        <f>C13</f>
        <v>0</v>
      </c>
      <c r="F210" s="27">
        <f>E210*D210</f>
        <v>0</v>
      </c>
    </row>
    <row r="211" spans="2:6" x14ac:dyDescent="0.25">
      <c r="B211" s="4" t="s">
        <v>23</v>
      </c>
      <c r="C211" s="8">
        <f>D$202</f>
        <v>0</v>
      </c>
      <c r="D211" s="55">
        <f>F202</f>
        <v>0</v>
      </c>
      <c r="E211" s="27">
        <f>C14</f>
        <v>0</v>
      </c>
      <c r="F211" s="27">
        <f>E211*D211</f>
        <v>0</v>
      </c>
    </row>
    <row r="213" spans="2:6" x14ac:dyDescent="0.25">
      <c r="B213" s="4" t="s">
        <v>104</v>
      </c>
      <c r="C213" s="8">
        <f>SUM(C208:C211)</f>
        <v>0</v>
      </c>
      <c r="D213" s="26"/>
      <c r="E213" s="30"/>
      <c r="F213" s="27">
        <f>SUM(F208:F211)</f>
        <v>0</v>
      </c>
    </row>
    <row r="215" spans="2:6" x14ac:dyDescent="0.25">
      <c r="B215" s="26" t="s">
        <v>105</v>
      </c>
      <c r="C215" s="30"/>
      <c r="D215" s="27" t="e">
        <f>(F213/C213)/12</f>
        <v>#DIV/0!</v>
      </c>
    </row>
    <row r="218" spans="2:6" x14ac:dyDescent="0.25">
      <c r="B218" s="15" t="s">
        <v>106</v>
      </c>
    </row>
    <row r="220" spans="2:6" x14ac:dyDescent="0.25">
      <c r="C220" s="26" t="s">
        <v>107</v>
      </c>
      <c r="D220" s="41"/>
      <c r="E220" s="30"/>
      <c r="F220" s="35"/>
    </row>
    <row r="222" spans="2:6" x14ac:dyDescent="0.25">
      <c r="C222" s="26" t="s">
        <v>108</v>
      </c>
      <c r="D222" s="41"/>
      <c r="E222" s="30"/>
      <c r="F222" s="27" t="e">
        <f>E62</f>
        <v>#DIV/0!</v>
      </c>
    </row>
    <row r="224" spans="2:6" x14ac:dyDescent="0.25">
      <c r="C224" s="26" t="s">
        <v>109</v>
      </c>
      <c r="D224" s="41"/>
      <c r="E224" s="30"/>
      <c r="F224" s="27" t="e">
        <f>F222*F220</f>
        <v>#DIV/0!</v>
      </c>
    </row>
    <row r="228" spans="2:8" x14ac:dyDescent="0.25">
      <c r="B228" s="28" t="s">
        <v>110</v>
      </c>
    </row>
    <row r="229" spans="2:8" x14ac:dyDescent="0.25">
      <c r="B229" s="28"/>
    </row>
    <row r="230" spans="2:8" x14ac:dyDescent="0.25">
      <c r="B230" s="26" t="s">
        <v>111</v>
      </c>
      <c r="C230" s="30"/>
      <c r="D230" s="9"/>
    </row>
    <row r="232" spans="2:8" x14ac:dyDescent="0.25">
      <c r="B232" s="15" t="s">
        <v>112</v>
      </c>
    </row>
    <row r="234" spans="2:8" ht="25.5" x14ac:dyDescent="0.25">
      <c r="C234" s="45" t="s">
        <v>85</v>
      </c>
      <c r="D234" s="45" t="s">
        <v>86</v>
      </c>
      <c r="E234" s="45" t="s">
        <v>113</v>
      </c>
      <c r="F234" s="45" t="s">
        <v>88</v>
      </c>
    </row>
    <row r="235" spans="2:8" x14ac:dyDescent="0.25">
      <c r="C235" s="11" t="s">
        <v>89</v>
      </c>
      <c r="D235" s="8">
        <f t="shared" ref="D235:D242" si="4">D139</f>
        <v>0</v>
      </c>
      <c r="E235" s="46">
        <f>D$230/100</f>
        <v>0</v>
      </c>
      <c r="F235" s="46">
        <f t="shared" ref="F235:F242" si="5">E235*D235</f>
        <v>0</v>
      </c>
      <c r="H235" s="56"/>
    </row>
    <row r="236" spans="2:8" x14ac:dyDescent="0.25">
      <c r="C236" s="47" t="s">
        <v>90</v>
      </c>
      <c r="D236" s="8">
        <f t="shared" si="4"/>
        <v>0</v>
      </c>
      <c r="E236" s="46">
        <f>(1-E139)*(D$230/100)</f>
        <v>0</v>
      </c>
      <c r="F236" s="46">
        <f t="shared" si="5"/>
        <v>0</v>
      </c>
      <c r="H236" s="56"/>
    </row>
    <row r="237" spans="2:8" x14ac:dyDescent="0.25">
      <c r="C237" s="11" t="s">
        <v>91</v>
      </c>
      <c r="D237" s="8">
        <f t="shared" si="4"/>
        <v>0</v>
      </c>
      <c r="E237" s="46">
        <f>(1-E140-E139)*(D$230/100)</f>
        <v>0</v>
      </c>
      <c r="F237" s="46">
        <f t="shared" si="5"/>
        <v>0</v>
      </c>
      <c r="H237" s="56"/>
    </row>
    <row r="238" spans="2:8" x14ac:dyDescent="0.25">
      <c r="C238" s="11" t="s">
        <v>92</v>
      </c>
      <c r="D238" s="8">
        <v>1</v>
      </c>
      <c r="E238" s="46">
        <f>(1-E141-E140-E139)*(D$230/100)</f>
        <v>0</v>
      </c>
      <c r="F238" s="46">
        <f t="shared" si="5"/>
        <v>0</v>
      </c>
      <c r="H238" s="56"/>
    </row>
    <row r="239" spans="2:8" x14ac:dyDescent="0.25">
      <c r="C239" s="11" t="s">
        <v>93</v>
      </c>
      <c r="D239" s="8">
        <f t="shared" si="4"/>
        <v>0</v>
      </c>
      <c r="E239" s="46">
        <f>(1-E142-E141-E140-E139)*(D$230/100)</f>
        <v>0</v>
      </c>
      <c r="F239" s="46">
        <f t="shared" si="5"/>
        <v>0</v>
      </c>
      <c r="H239" s="56"/>
    </row>
    <row r="240" spans="2:8" x14ac:dyDescent="0.25">
      <c r="C240" s="11" t="s">
        <v>94</v>
      </c>
      <c r="D240" s="8">
        <f t="shared" si="4"/>
        <v>0</v>
      </c>
      <c r="E240" s="46">
        <f>(1-E143-E142-E141-E140-E139)*(D$230/100)</f>
        <v>0</v>
      </c>
      <c r="F240" s="46">
        <f t="shared" si="5"/>
        <v>0</v>
      </c>
      <c r="H240" s="56"/>
    </row>
    <row r="241" spans="2:8" x14ac:dyDescent="0.25">
      <c r="C241" s="11" t="s">
        <v>95</v>
      </c>
      <c r="D241" s="8">
        <f t="shared" si="4"/>
        <v>0</v>
      </c>
      <c r="E241" s="46">
        <f>(1-E144-E143-E142-E141-E140-E139)*(D$230/100)</f>
        <v>0</v>
      </c>
      <c r="F241" s="46">
        <f t="shared" si="5"/>
        <v>0</v>
      </c>
      <c r="H241" s="56"/>
    </row>
    <row r="242" spans="2:8" x14ac:dyDescent="0.25">
      <c r="C242" s="11" t="s">
        <v>96</v>
      </c>
      <c r="D242" s="8">
        <f t="shared" si="4"/>
        <v>0</v>
      </c>
      <c r="E242" s="46">
        <f>(1-E145-E144-E143-E142-E141-E140-E139)*(D$230/100)</f>
        <v>0</v>
      </c>
      <c r="F242" s="46">
        <f t="shared" si="5"/>
        <v>0</v>
      </c>
      <c r="H242" s="56"/>
    </row>
    <row r="243" spans="2:8" x14ac:dyDescent="0.25">
      <c r="D243" s="57"/>
    </row>
    <row r="244" spans="2:8" x14ac:dyDescent="0.25">
      <c r="C244" s="48" t="s">
        <v>24</v>
      </c>
      <c r="D244" s="58">
        <f>SUM(D235:D242)</f>
        <v>1</v>
      </c>
      <c r="E244" s="49"/>
      <c r="F244" s="49">
        <f>SUM(F235:F243)</f>
        <v>0</v>
      </c>
      <c r="H244" s="56"/>
    </row>
    <row r="247" spans="2:8" x14ac:dyDescent="0.25">
      <c r="B247" s="15" t="s">
        <v>114</v>
      </c>
    </row>
    <row r="249" spans="2:8" ht="25.5" x14ac:dyDescent="0.25">
      <c r="C249" s="45" t="s">
        <v>85</v>
      </c>
      <c r="D249" s="45" t="s">
        <v>86</v>
      </c>
      <c r="E249" s="45" t="s">
        <v>113</v>
      </c>
      <c r="F249" s="45" t="s">
        <v>88</v>
      </c>
    </row>
    <row r="250" spans="2:8" x14ac:dyDescent="0.25">
      <c r="C250" s="11" t="s">
        <v>89</v>
      </c>
      <c r="D250" s="8">
        <f t="shared" ref="D250:D259" si="6">D155</f>
        <v>0</v>
      </c>
      <c r="E250" s="46">
        <f>D$230/100</f>
        <v>0</v>
      </c>
      <c r="F250" s="46">
        <f t="shared" ref="F250:F259" si="7">E250*D250</f>
        <v>0</v>
      </c>
      <c r="H250" s="56"/>
    </row>
    <row r="251" spans="2:8" x14ac:dyDescent="0.25">
      <c r="C251" s="47" t="s">
        <v>90</v>
      </c>
      <c r="D251" s="8">
        <f t="shared" si="6"/>
        <v>0</v>
      </c>
      <c r="E251" s="46">
        <f>(1-E155)*(D$230/100)</f>
        <v>0</v>
      </c>
      <c r="F251" s="46">
        <f t="shared" si="7"/>
        <v>0</v>
      </c>
      <c r="H251" s="56"/>
    </row>
    <row r="252" spans="2:8" x14ac:dyDescent="0.25">
      <c r="C252" s="11" t="s">
        <v>91</v>
      </c>
      <c r="D252" s="8">
        <f t="shared" si="6"/>
        <v>0</v>
      </c>
      <c r="E252" s="46">
        <f>(1-E156-E155)*(D$230/100)</f>
        <v>0</v>
      </c>
      <c r="F252" s="46">
        <f t="shared" si="7"/>
        <v>0</v>
      </c>
      <c r="H252" s="56"/>
    </row>
    <row r="253" spans="2:8" x14ac:dyDescent="0.25">
      <c r="C253" s="11" t="s">
        <v>92</v>
      </c>
      <c r="D253" s="8">
        <f t="shared" si="6"/>
        <v>0</v>
      </c>
      <c r="E253" s="46">
        <f>(1-E157-E156-E155)*(D$230/100)</f>
        <v>0</v>
      </c>
      <c r="F253" s="46">
        <f t="shared" si="7"/>
        <v>0</v>
      </c>
      <c r="H253" s="56"/>
    </row>
    <row r="254" spans="2:8" x14ac:dyDescent="0.25">
      <c r="C254" s="11" t="s">
        <v>93</v>
      </c>
      <c r="D254" s="8">
        <f t="shared" si="6"/>
        <v>0</v>
      </c>
      <c r="E254" s="46">
        <f>(1-E158-E157-E156-E155)*(D$230/100)</f>
        <v>0</v>
      </c>
      <c r="F254" s="46">
        <f t="shared" si="7"/>
        <v>0</v>
      </c>
      <c r="H254" s="56"/>
    </row>
    <row r="255" spans="2:8" x14ac:dyDescent="0.25">
      <c r="C255" s="11" t="s">
        <v>94</v>
      </c>
      <c r="D255" s="8">
        <f t="shared" si="6"/>
        <v>0</v>
      </c>
      <c r="E255" s="46">
        <f>(1-E159-E158-E157-E156-E155)*(D$230/100)</f>
        <v>0</v>
      </c>
      <c r="F255" s="46">
        <f t="shared" si="7"/>
        <v>0</v>
      </c>
      <c r="H255" s="56"/>
    </row>
    <row r="256" spans="2:8" x14ac:dyDescent="0.25">
      <c r="C256" s="11" t="s">
        <v>95</v>
      </c>
      <c r="D256" s="8">
        <f t="shared" si="6"/>
        <v>0</v>
      </c>
      <c r="E256" s="46">
        <f>(1-E160-E159-E158-E157-E156-E155)*(D$230/100)</f>
        <v>0</v>
      </c>
      <c r="F256" s="46">
        <f t="shared" si="7"/>
        <v>0</v>
      </c>
      <c r="H256" s="56"/>
    </row>
    <row r="257" spans="2:8" x14ac:dyDescent="0.25">
      <c r="C257" s="11" t="s">
        <v>96</v>
      </c>
      <c r="D257" s="8">
        <f t="shared" si="6"/>
        <v>0</v>
      </c>
      <c r="E257" s="46">
        <f>(1-E161-E160-E159-E158-E157-E156-E155)*(D$230/100)</f>
        <v>0</v>
      </c>
      <c r="F257" s="46">
        <f t="shared" si="7"/>
        <v>0</v>
      </c>
      <c r="H257" s="56"/>
    </row>
    <row r="258" spans="2:8" x14ac:dyDescent="0.25">
      <c r="C258" s="11" t="s">
        <v>98</v>
      </c>
      <c r="D258" s="8">
        <f t="shared" si="6"/>
        <v>0</v>
      </c>
      <c r="E258" s="46">
        <f>(1-E162-E161-E160-E159-E158-E157-E156-E155)*(D$230/100)</f>
        <v>0</v>
      </c>
      <c r="F258" s="46">
        <f t="shared" si="7"/>
        <v>0</v>
      </c>
      <c r="H258" s="56"/>
    </row>
    <row r="259" spans="2:8" x14ac:dyDescent="0.25">
      <c r="C259" s="11" t="s">
        <v>99</v>
      </c>
      <c r="D259" s="8">
        <f t="shared" si="6"/>
        <v>0</v>
      </c>
      <c r="E259" s="46">
        <f>(1-E163-E162-E161-E160-E159-E158-E157-E156-E155)*(D$230/100)</f>
        <v>0</v>
      </c>
      <c r="F259" s="46">
        <f t="shared" si="7"/>
        <v>0</v>
      </c>
      <c r="H259" s="56"/>
    </row>
    <row r="260" spans="2:8" x14ac:dyDescent="0.25">
      <c r="D260" s="57"/>
    </row>
    <row r="261" spans="2:8" x14ac:dyDescent="0.25">
      <c r="C261" s="48" t="s">
        <v>24</v>
      </c>
      <c r="D261" s="8">
        <f>SUM(D250:D260)</f>
        <v>0</v>
      </c>
      <c r="E261" s="30"/>
      <c r="F261" s="46">
        <f>SUM(F250:F260)</f>
        <v>0</v>
      </c>
      <c r="H261" s="56"/>
    </row>
    <row r="264" spans="2:8" x14ac:dyDescent="0.25">
      <c r="B264" s="15" t="s">
        <v>115</v>
      </c>
    </row>
    <row r="266" spans="2:8" ht="25.5" x14ac:dyDescent="0.25">
      <c r="C266" s="45" t="s">
        <v>85</v>
      </c>
      <c r="D266" s="45" t="s">
        <v>86</v>
      </c>
      <c r="E266" s="45" t="s">
        <v>113</v>
      </c>
      <c r="F266" s="45" t="s">
        <v>88</v>
      </c>
    </row>
    <row r="267" spans="2:8" x14ac:dyDescent="0.25">
      <c r="C267" s="11" t="s">
        <v>89</v>
      </c>
      <c r="D267" s="8">
        <f>D173</f>
        <v>0</v>
      </c>
      <c r="E267" s="46">
        <f>D$230/100</f>
        <v>0</v>
      </c>
      <c r="F267" s="46">
        <f t="shared" ref="F267:F276" si="8">E267*D267</f>
        <v>0</v>
      </c>
    </row>
    <row r="268" spans="2:8" x14ac:dyDescent="0.25">
      <c r="C268" s="47" t="s">
        <v>90</v>
      </c>
      <c r="D268" s="8">
        <v>12</v>
      </c>
      <c r="E268" s="46">
        <f>(1-E173)*(D$230/100)</f>
        <v>0</v>
      </c>
      <c r="F268" s="46">
        <f t="shared" si="8"/>
        <v>0</v>
      </c>
    </row>
    <row r="269" spans="2:8" x14ac:dyDescent="0.25">
      <c r="C269" s="11" t="s">
        <v>91</v>
      </c>
      <c r="D269" s="8">
        <v>13</v>
      </c>
      <c r="E269" s="46">
        <f>(1-E174-E173)*(D$230/100)</f>
        <v>0</v>
      </c>
      <c r="F269" s="46">
        <f t="shared" si="8"/>
        <v>0</v>
      </c>
    </row>
    <row r="270" spans="2:8" x14ac:dyDescent="0.25">
      <c r="C270" s="11" t="s">
        <v>92</v>
      </c>
      <c r="D270" s="8">
        <v>13</v>
      </c>
      <c r="E270" s="46">
        <f>(1-E175-E174-E173)*(D$230/100)</f>
        <v>0</v>
      </c>
      <c r="F270" s="46">
        <f t="shared" si="8"/>
        <v>0</v>
      </c>
    </row>
    <row r="271" spans="2:8" x14ac:dyDescent="0.25">
      <c r="C271" s="11" t="s">
        <v>93</v>
      </c>
      <c r="D271" s="8">
        <f>D177</f>
        <v>0</v>
      </c>
      <c r="E271" s="46">
        <f>(1-E176-E175-E174-E173)*(D$230/100)</f>
        <v>0</v>
      </c>
      <c r="F271" s="46">
        <f t="shared" si="8"/>
        <v>0</v>
      </c>
    </row>
    <row r="272" spans="2:8" x14ac:dyDescent="0.25">
      <c r="C272" s="11" t="s">
        <v>94</v>
      </c>
      <c r="D272" s="8">
        <f>D178</f>
        <v>0</v>
      </c>
      <c r="E272" s="46">
        <f>(1-E177-E176-E175-E174-E173)*(D$230/100)</f>
        <v>0</v>
      </c>
      <c r="F272" s="46">
        <f t="shared" si="8"/>
        <v>0</v>
      </c>
    </row>
    <row r="273" spans="2:6" x14ac:dyDescent="0.25">
      <c r="C273" s="11" t="s">
        <v>95</v>
      </c>
      <c r="D273" s="8">
        <v>13</v>
      </c>
      <c r="E273" s="46">
        <f>(1-E178-E177-E176-E175-E174-E173)*(D$230/100)</f>
        <v>0</v>
      </c>
      <c r="F273" s="46">
        <f t="shared" si="8"/>
        <v>0</v>
      </c>
    </row>
    <row r="274" spans="2:6" x14ac:dyDescent="0.25">
      <c r="C274" s="11" t="s">
        <v>96</v>
      </c>
      <c r="D274" s="8">
        <v>12</v>
      </c>
      <c r="E274" s="46">
        <f>(1-E179-E178-E177-E176-E175-E174-E173)*(D$230/100)</f>
        <v>0</v>
      </c>
      <c r="F274" s="46">
        <f t="shared" si="8"/>
        <v>0</v>
      </c>
    </row>
    <row r="275" spans="2:6" x14ac:dyDescent="0.25">
      <c r="C275" s="11" t="s">
        <v>98</v>
      </c>
      <c r="D275" s="8">
        <v>12</v>
      </c>
      <c r="E275" s="46">
        <f>(1-E180-E179-E178-E177-E176-E175-E174-E173)*(D$230/100)</f>
        <v>0</v>
      </c>
      <c r="F275" s="46">
        <f t="shared" si="8"/>
        <v>0</v>
      </c>
    </row>
    <row r="276" spans="2:6" x14ac:dyDescent="0.25">
      <c r="C276" s="11" t="s">
        <v>99</v>
      </c>
      <c r="D276" s="8">
        <f>D182</f>
        <v>0</v>
      </c>
      <c r="E276" s="46">
        <f>(1-E181-E180-E179-E178-E177-E176-E175-E174-E173)*(D$230/100)</f>
        <v>0</v>
      </c>
      <c r="F276" s="46">
        <f t="shared" si="8"/>
        <v>0</v>
      </c>
    </row>
    <row r="277" spans="2:6" x14ac:dyDescent="0.25">
      <c r="D277" s="59"/>
    </row>
    <row r="278" spans="2:6" x14ac:dyDescent="0.25">
      <c r="C278" s="48" t="s">
        <v>24</v>
      </c>
      <c r="D278" s="8">
        <f>SUM(D267:D277)</f>
        <v>75</v>
      </c>
      <c r="E278" s="30"/>
      <c r="F278" s="46">
        <f>SUM(F267:F277)</f>
        <v>0</v>
      </c>
    </row>
    <row r="281" spans="2:6" x14ac:dyDescent="0.25">
      <c r="B281" s="15" t="s">
        <v>116</v>
      </c>
    </row>
    <row r="283" spans="2:6" ht="25.5" x14ac:dyDescent="0.25">
      <c r="C283" s="45" t="s">
        <v>85</v>
      </c>
      <c r="D283" s="45" t="s">
        <v>86</v>
      </c>
      <c r="E283" s="45" t="s">
        <v>113</v>
      </c>
      <c r="F283" s="45" t="s">
        <v>88</v>
      </c>
    </row>
    <row r="284" spans="2:6" x14ac:dyDescent="0.25">
      <c r="C284" s="11" t="s">
        <v>89</v>
      </c>
      <c r="D284" s="8">
        <f t="shared" ref="D284:D293" si="9">D191</f>
        <v>0</v>
      </c>
      <c r="E284" s="46">
        <f>D$230/100</f>
        <v>0</v>
      </c>
      <c r="F284" s="46">
        <f t="shared" ref="F284:F293" si="10">E284*D284</f>
        <v>0</v>
      </c>
    </row>
    <row r="285" spans="2:6" x14ac:dyDescent="0.25">
      <c r="C285" s="47" t="s">
        <v>90</v>
      </c>
      <c r="D285" s="8">
        <f t="shared" si="9"/>
        <v>0</v>
      </c>
      <c r="E285" s="46">
        <f>(1-E191)*(D$230/100)</f>
        <v>0</v>
      </c>
      <c r="F285" s="46">
        <f t="shared" si="10"/>
        <v>0</v>
      </c>
    </row>
    <row r="286" spans="2:6" x14ac:dyDescent="0.25">
      <c r="C286" s="11" t="s">
        <v>91</v>
      </c>
      <c r="D286" s="8">
        <f t="shared" si="9"/>
        <v>0</v>
      </c>
      <c r="E286" s="46">
        <f>(1-E192-E191)*(D$230/100)</f>
        <v>0</v>
      </c>
      <c r="F286" s="46">
        <f t="shared" si="10"/>
        <v>0</v>
      </c>
    </row>
    <row r="287" spans="2:6" x14ac:dyDescent="0.25">
      <c r="C287" s="11" t="s">
        <v>92</v>
      </c>
      <c r="D287" s="8">
        <f t="shared" si="9"/>
        <v>0</v>
      </c>
      <c r="E287" s="46">
        <f>(1-E193-E192-E191)*(D$230/100)</f>
        <v>0</v>
      </c>
      <c r="F287" s="46">
        <f t="shared" si="10"/>
        <v>0</v>
      </c>
    </row>
    <row r="288" spans="2:6" x14ac:dyDescent="0.25">
      <c r="C288" s="11" t="s">
        <v>93</v>
      </c>
      <c r="D288" s="8">
        <f t="shared" si="9"/>
        <v>0</v>
      </c>
      <c r="E288" s="46">
        <f>(1-E194-E193-E192-E191)*(D$230/100)</f>
        <v>0</v>
      </c>
      <c r="F288" s="46">
        <f t="shared" si="10"/>
        <v>0</v>
      </c>
    </row>
    <row r="289" spans="2:6" x14ac:dyDescent="0.25">
      <c r="C289" s="11" t="s">
        <v>94</v>
      </c>
      <c r="D289" s="8">
        <f t="shared" si="9"/>
        <v>0</v>
      </c>
      <c r="E289" s="46">
        <f>(1-E195-E194-E193-E192-E191)*(D$230/100)</f>
        <v>0</v>
      </c>
      <c r="F289" s="46">
        <f t="shared" si="10"/>
        <v>0</v>
      </c>
    </row>
    <row r="290" spans="2:6" x14ac:dyDescent="0.25">
      <c r="C290" s="11" t="s">
        <v>95</v>
      </c>
      <c r="D290" s="8">
        <f t="shared" si="9"/>
        <v>0</v>
      </c>
      <c r="E290" s="46">
        <f>(1-E196-E195-E194-E193-E192-E191)*(D$230/100)</f>
        <v>0</v>
      </c>
      <c r="F290" s="46">
        <f t="shared" si="10"/>
        <v>0</v>
      </c>
    </row>
    <row r="291" spans="2:6" x14ac:dyDescent="0.25">
      <c r="C291" s="11" t="s">
        <v>96</v>
      </c>
      <c r="D291" s="8">
        <f t="shared" si="9"/>
        <v>0</v>
      </c>
      <c r="E291" s="46">
        <f>(1-E197-E196-E195-E194-E193-E192-E191)*(D$230/100)</f>
        <v>0</v>
      </c>
      <c r="F291" s="46">
        <f t="shared" si="10"/>
        <v>0</v>
      </c>
    </row>
    <row r="292" spans="2:6" x14ac:dyDescent="0.25">
      <c r="C292" s="11" t="s">
        <v>98</v>
      </c>
      <c r="D292" s="8">
        <f t="shared" si="9"/>
        <v>0</v>
      </c>
      <c r="E292" s="46">
        <f>(1-E198-E197-E196-E195-E194-E193-E192-E191)*(D$230/100)</f>
        <v>0</v>
      </c>
      <c r="F292" s="46">
        <f t="shared" si="10"/>
        <v>0</v>
      </c>
    </row>
    <row r="293" spans="2:6" x14ac:dyDescent="0.25">
      <c r="C293" s="11" t="s">
        <v>99</v>
      </c>
      <c r="D293" s="8">
        <f t="shared" si="9"/>
        <v>0</v>
      </c>
      <c r="E293" s="46">
        <f>(1-E199-E198-E197-E196-E195-E194-E193-E192-E191)*(D$230/100)</f>
        <v>0</v>
      </c>
      <c r="F293" s="46">
        <f t="shared" si="10"/>
        <v>0</v>
      </c>
    </row>
    <row r="295" spans="2:6" x14ac:dyDescent="0.25">
      <c r="C295" s="48" t="s">
        <v>24</v>
      </c>
      <c r="D295" s="8">
        <f>SUM(D284:D293)</f>
        <v>0</v>
      </c>
      <c r="E295" s="49"/>
      <c r="F295" s="46">
        <f>SUM(F284:F294)</f>
        <v>0</v>
      </c>
    </row>
    <row r="299" spans="2:6" ht="25.5" x14ac:dyDescent="0.25">
      <c r="B299" s="54" t="s">
        <v>78</v>
      </c>
      <c r="C299" s="45" t="s">
        <v>86</v>
      </c>
      <c r="D299" s="45" t="s">
        <v>88</v>
      </c>
      <c r="E299" s="45" t="s">
        <v>102</v>
      </c>
      <c r="F299" s="45" t="s">
        <v>117</v>
      </c>
    </row>
    <row r="301" spans="2:6" x14ac:dyDescent="0.25">
      <c r="B301" s="4" t="s">
        <v>17</v>
      </c>
      <c r="C301" s="8">
        <f>D$148</f>
        <v>0</v>
      </c>
      <c r="D301" s="55">
        <f>F244</f>
        <v>0</v>
      </c>
      <c r="E301" s="27">
        <f>C11</f>
        <v>0</v>
      </c>
      <c r="F301" s="27">
        <f>E301*D301</f>
        <v>0</v>
      </c>
    </row>
    <row r="302" spans="2:6" x14ac:dyDescent="0.25">
      <c r="B302" s="4" t="s">
        <v>19</v>
      </c>
      <c r="C302" s="8">
        <f>D$166</f>
        <v>0</v>
      </c>
      <c r="D302" s="55">
        <f>F261</f>
        <v>0</v>
      </c>
      <c r="E302" s="27">
        <f>C12</f>
        <v>0</v>
      </c>
      <c r="F302" s="27">
        <f>E302*D302</f>
        <v>0</v>
      </c>
    </row>
    <row r="303" spans="2:6" x14ac:dyDescent="0.25">
      <c r="B303" s="4" t="s">
        <v>21</v>
      </c>
      <c r="C303" s="8">
        <f>D$184</f>
        <v>0</v>
      </c>
      <c r="D303" s="55">
        <f>F278</f>
        <v>0</v>
      </c>
      <c r="E303" s="27">
        <f>C13</f>
        <v>0</v>
      </c>
      <c r="F303" s="27">
        <f>E303*D303</f>
        <v>0</v>
      </c>
    </row>
    <row r="304" spans="2:6" x14ac:dyDescent="0.25">
      <c r="B304" s="4" t="s">
        <v>23</v>
      </c>
      <c r="C304" s="8">
        <f>D$202</f>
        <v>0</v>
      </c>
      <c r="D304" s="55">
        <f>F295</f>
        <v>0</v>
      </c>
      <c r="E304" s="27">
        <f>C14</f>
        <v>0</v>
      </c>
      <c r="F304" s="27">
        <f>E304*D304</f>
        <v>0</v>
      </c>
    </row>
    <row r="306" spans="2:6" x14ac:dyDescent="0.25">
      <c r="B306" s="4" t="s">
        <v>104</v>
      </c>
      <c r="C306" s="8">
        <f>SUM(C301:C304)</f>
        <v>0</v>
      </c>
      <c r="D306" s="26"/>
      <c r="E306" s="30"/>
      <c r="F306" s="27">
        <f>SUM(F301:F304)</f>
        <v>0</v>
      </c>
    </row>
    <row r="308" spans="2:6" x14ac:dyDescent="0.25">
      <c r="B308" s="26" t="s">
        <v>118</v>
      </c>
      <c r="C308" s="30"/>
      <c r="D308" s="27" t="e">
        <f>(F306/C306)/12</f>
        <v>#DIV/0!</v>
      </c>
    </row>
    <row r="311" spans="2:6" x14ac:dyDescent="0.25">
      <c r="B311" s="15" t="s">
        <v>119</v>
      </c>
    </row>
    <row r="313" spans="2:6" x14ac:dyDescent="0.25">
      <c r="C313" s="26" t="s">
        <v>120</v>
      </c>
      <c r="D313" s="41"/>
      <c r="E313" s="30"/>
      <c r="F313" s="35"/>
    </row>
    <row r="315" spans="2:6" x14ac:dyDescent="0.25">
      <c r="C315" s="26" t="s">
        <v>108</v>
      </c>
      <c r="D315" s="41"/>
      <c r="E315" s="30"/>
      <c r="F315" s="27" t="e">
        <f>E$62</f>
        <v>#DIV/0!</v>
      </c>
    </row>
    <row r="317" spans="2:6" x14ac:dyDescent="0.25">
      <c r="C317" s="26" t="s">
        <v>109</v>
      </c>
      <c r="D317" s="41"/>
      <c r="E317" s="30"/>
      <c r="F317" s="27" t="e">
        <f>F315*F313</f>
        <v>#DIV/0!</v>
      </c>
    </row>
    <row r="320" spans="2:6" x14ac:dyDescent="0.25">
      <c r="B320" s="15" t="s">
        <v>121</v>
      </c>
    </row>
    <row r="322" spans="2:8" x14ac:dyDescent="0.25">
      <c r="C322" s="26" t="s">
        <v>122</v>
      </c>
      <c r="D322" s="41"/>
      <c r="E322" s="30"/>
      <c r="F322" s="35"/>
    </row>
    <row r="324" spans="2:8" x14ac:dyDescent="0.25">
      <c r="C324" s="26" t="s">
        <v>108</v>
      </c>
      <c r="D324" s="41"/>
      <c r="E324" s="30"/>
      <c r="F324" s="27" t="e">
        <f>E$62</f>
        <v>#DIV/0!</v>
      </c>
    </row>
    <row r="326" spans="2:8" x14ac:dyDescent="0.25">
      <c r="C326" s="26" t="s">
        <v>123</v>
      </c>
      <c r="D326" s="41"/>
      <c r="E326" s="30"/>
      <c r="F326" s="27" t="e">
        <f>F324*F322</f>
        <v>#DIV/0!</v>
      </c>
    </row>
    <row r="330" spans="2:8" x14ac:dyDescent="0.25">
      <c r="B330" s="28" t="s">
        <v>124</v>
      </c>
    </row>
    <row r="331" spans="2:8" x14ac:dyDescent="0.25">
      <c r="B331" s="28"/>
    </row>
    <row r="332" spans="2:8" x14ac:dyDescent="0.25">
      <c r="B332" s="15" t="s">
        <v>125</v>
      </c>
    </row>
    <row r="334" spans="2:8" x14ac:dyDescent="0.25">
      <c r="B334" s="60" t="s">
        <v>126</v>
      </c>
      <c r="C334" s="60" t="s">
        <v>127</v>
      </c>
      <c r="D334" s="60" t="s">
        <v>128</v>
      </c>
      <c r="E334" s="60" t="s">
        <v>129</v>
      </c>
      <c r="G334" s="60" t="s">
        <v>130</v>
      </c>
    </row>
    <row r="336" spans="2:8" x14ac:dyDescent="0.25">
      <c r="B336" s="4" t="s">
        <v>26</v>
      </c>
      <c r="C336" s="61">
        <f>C19</f>
        <v>0</v>
      </c>
      <c r="D336" s="62"/>
      <c r="E336" s="62"/>
      <c r="G336" s="61">
        <f>C336*D336*(1+(E336/100))</f>
        <v>0</v>
      </c>
      <c r="H336" s="15" t="s">
        <v>131</v>
      </c>
    </row>
    <row r="337" spans="2:8" x14ac:dyDescent="0.25">
      <c r="B337" s="4" t="s">
        <v>28</v>
      </c>
      <c r="C337" s="61">
        <f>C20</f>
        <v>0</v>
      </c>
      <c r="D337" s="62"/>
      <c r="E337" s="62"/>
      <c r="G337" s="61">
        <f>C337*D337*(1+(E337/100))</f>
        <v>0</v>
      </c>
      <c r="H337" s="15" t="s">
        <v>131</v>
      </c>
    </row>
    <row r="338" spans="2:8" x14ac:dyDescent="0.25">
      <c r="B338" s="4" t="s">
        <v>29</v>
      </c>
      <c r="C338" s="61">
        <f>C21</f>
        <v>0</v>
      </c>
      <c r="D338" s="62"/>
      <c r="E338" s="62"/>
      <c r="G338" s="61">
        <f>C338*D338*(1+(E338/100))</f>
        <v>0</v>
      </c>
      <c r="H338" s="15" t="s">
        <v>131</v>
      </c>
    </row>
    <row r="341" spans="2:8" x14ac:dyDescent="0.25">
      <c r="B341" s="15" t="s">
        <v>132</v>
      </c>
    </row>
    <row r="343" spans="2:8" x14ac:dyDescent="0.25">
      <c r="C343" s="26" t="s">
        <v>133</v>
      </c>
      <c r="D343" s="41"/>
      <c r="E343" s="30"/>
      <c r="F343" s="35"/>
    </row>
    <row r="345" spans="2:8" x14ac:dyDescent="0.25">
      <c r="C345" s="26" t="s">
        <v>134</v>
      </c>
      <c r="D345" s="41"/>
      <c r="E345" s="30"/>
      <c r="F345" s="27">
        <f>SUM(G336:G338)</f>
        <v>0</v>
      </c>
    </row>
    <row r="347" spans="2:8" x14ac:dyDescent="0.25">
      <c r="C347" s="26" t="s">
        <v>135</v>
      </c>
      <c r="D347" s="41"/>
      <c r="E347" s="30"/>
      <c r="F347" s="27">
        <f>F345*F343</f>
        <v>0</v>
      </c>
    </row>
    <row r="350" spans="2:8" x14ac:dyDescent="0.25">
      <c r="B350" s="15" t="s">
        <v>136</v>
      </c>
    </row>
    <row r="352" spans="2:8" x14ac:dyDescent="0.25">
      <c r="C352" s="26" t="s">
        <v>137</v>
      </c>
      <c r="D352" s="41"/>
      <c r="E352" s="30"/>
      <c r="F352" s="35"/>
    </row>
    <row r="354" spans="2:6" x14ac:dyDescent="0.25">
      <c r="C354" s="26" t="s">
        <v>134</v>
      </c>
      <c r="D354" s="41"/>
      <c r="E354" s="30"/>
      <c r="F354" s="27">
        <f>F345</f>
        <v>0</v>
      </c>
    </row>
    <row r="356" spans="2:6" x14ac:dyDescent="0.25">
      <c r="C356" s="26" t="s">
        <v>138</v>
      </c>
      <c r="D356" s="41"/>
      <c r="E356" s="30"/>
      <c r="F356" s="27">
        <f>F354*F352</f>
        <v>0</v>
      </c>
    </row>
    <row r="360" spans="2:6" x14ac:dyDescent="0.25">
      <c r="B360" s="28" t="s">
        <v>139</v>
      </c>
    </row>
    <row r="362" spans="2:6" x14ac:dyDescent="0.25">
      <c r="C362" s="26" t="s">
        <v>140</v>
      </c>
      <c r="D362" s="41"/>
      <c r="E362" s="30"/>
      <c r="F362" s="35"/>
    </row>
    <row r="364" spans="2:6" x14ac:dyDescent="0.25">
      <c r="C364" s="26" t="s">
        <v>141</v>
      </c>
      <c r="D364" s="41"/>
      <c r="E364" s="30"/>
      <c r="F364" s="27" t="e">
        <f>C62</f>
        <v>#DIV/0!</v>
      </c>
    </row>
    <row r="366" spans="2:6" x14ac:dyDescent="0.25">
      <c r="C366" s="26" t="s">
        <v>142</v>
      </c>
      <c r="D366" s="41"/>
      <c r="E366" s="30"/>
      <c r="F366" s="27" t="e">
        <f>F364*F362</f>
        <v>#DIV/0!</v>
      </c>
    </row>
    <row r="370" spans="1:8" x14ac:dyDescent="0.25">
      <c r="B370" s="28" t="s">
        <v>143</v>
      </c>
    </row>
    <row r="372" spans="1:8" x14ac:dyDescent="0.25">
      <c r="C372" s="63" t="s">
        <v>144</v>
      </c>
      <c r="D372" s="64"/>
      <c r="E372" s="60" t="s">
        <v>145</v>
      </c>
    </row>
    <row r="373" spans="1:8" x14ac:dyDescent="0.25">
      <c r="C373" s="13"/>
    </row>
    <row r="374" spans="1:8" x14ac:dyDescent="0.25">
      <c r="C374" s="26" t="s">
        <v>146</v>
      </c>
      <c r="D374" s="30"/>
      <c r="E374" s="65">
        <v>2</v>
      </c>
    </row>
    <row r="375" spans="1:8" x14ac:dyDescent="0.25">
      <c r="C375" s="26" t="s">
        <v>147</v>
      </c>
      <c r="D375" s="30"/>
      <c r="E375" s="65">
        <v>0</v>
      </c>
    </row>
    <row r="377" spans="1:8" x14ac:dyDescent="0.25">
      <c r="D377" s="4" t="s">
        <v>24</v>
      </c>
      <c r="E377" s="61">
        <f>SUM(E374:E376)</f>
        <v>2</v>
      </c>
    </row>
    <row r="380" spans="1:8" x14ac:dyDescent="0.25">
      <c r="A380" s="1" t="s">
        <v>148</v>
      </c>
      <c r="B380" s="20"/>
      <c r="C380" s="20"/>
      <c r="D380" s="20"/>
      <c r="E380" s="20"/>
      <c r="F380" s="20"/>
      <c r="G380" s="20"/>
      <c r="H380" s="20"/>
    </row>
    <row r="384" spans="1:8" x14ac:dyDescent="0.25">
      <c r="C384" s="26" t="s">
        <v>149</v>
      </c>
      <c r="D384" s="30"/>
      <c r="E384" s="6">
        <v>0</v>
      </c>
    </row>
    <row r="388" spans="1:8" x14ac:dyDescent="0.25">
      <c r="A388" s="66" t="s">
        <v>173</v>
      </c>
      <c r="B388" s="20"/>
      <c r="C388" s="20"/>
      <c r="D388" s="20"/>
      <c r="E388" s="20"/>
      <c r="F388" s="20"/>
      <c r="G388" s="20"/>
      <c r="H388" s="20"/>
    </row>
    <row r="390" spans="1:8" x14ac:dyDescent="0.25">
      <c r="C390" s="3" t="s">
        <v>150</v>
      </c>
      <c r="D390" s="3" t="s">
        <v>151</v>
      </c>
      <c r="E390" s="3" t="s">
        <v>152</v>
      </c>
      <c r="F390" s="3" t="s">
        <v>153</v>
      </c>
    </row>
    <row r="391" spans="1:8" x14ac:dyDescent="0.25">
      <c r="B391" s="1" t="s">
        <v>154</v>
      </c>
      <c r="C391" s="20"/>
      <c r="D391" s="20"/>
      <c r="E391" s="20"/>
      <c r="F391" s="20"/>
    </row>
    <row r="393" spans="1:8" x14ac:dyDescent="0.25">
      <c r="B393" s="67" t="s">
        <v>4</v>
      </c>
      <c r="C393" s="67"/>
      <c r="D393" s="67"/>
      <c r="E393" s="68" t="e">
        <f>C126</f>
        <v>#DIV/0!</v>
      </c>
      <c r="F393" s="69" t="e">
        <f>(E393/E$433)*100</f>
        <v>#DIV/0!</v>
      </c>
    </row>
    <row r="394" spans="1:8" x14ac:dyDescent="0.25">
      <c r="B394" s="41" t="s">
        <v>69</v>
      </c>
      <c r="C394" s="41"/>
      <c r="D394" s="41"/>
      <c r="E394" s="68" t="e">
        <f>D126</f>
        <v>#DIV/0!</v>
      </c>
      <c r="F394" s="70" t="e">
        <f>(E394/E$433)*100</f>
        <v>#DIV/0!</v>
      </c>
    </row>
    <row r="395" spans="1:8" x14ac:dyDescent="0.25">
      <c r="B395" s="41" t="s">
        <v>56</v>
      </c>
      <c r="C395" s="41"/>
      <c r="D395" s="41"/>
      <c r="E395" s="68" t="e">
        <f>E126</f>
        <v>#DIV/0!</v>
      </c>
      <c r="F395" s="70" t="e">
        <f>(E395/E$433)*100</f>
        <v>#DIV/0!</v>
      </c>
    </row>
    <row r="396" spans="1:8" x14ac:dyDescent="0.25">
      <c r="B396" s="41" t="s">
        <v>79</v>
      </c>
      <c r="C396" s="41"/>
      <c r="D396" s="41"/>
      <c r="E396" s="68" t="e">
        <f>F126</f>
        <v>#DIV/0!</v>
      </c>
      <c r="F396" s="70" t="e">
        <f>(E396/E$433)*100</f>
        <v>#DIV/0!</v>
      </c>
    </row>
    <row r="397" spans="1:8" x14ac:dyDescent="0.25">
      <c r="E397" s="17"/>
    </row>
    <row r="398" spans="1:8" x14ac:dyDescent="0.25">
      <c r="B398" s="71" t="s">
        <v>155</v>
      </c>
      <c r="C398" s="41"/>
      <c r="D398" s="41"/>
      <c r="E398" s="72" t="e">
        <f>SUM(E393:E396)</f>
        <v>#DIV/0!</v>
      </c>
      <c r="F398" s="73" t="e">
        <f>(E398/E$433)*100</f>
        <v>#DIV/0!</v>
      </c>
    </row>
    <row r="400" spans="1:8" x14ac:dyDescent="0.25">
      <c r="B400" s="1" t="s">
        <v>156</v>
      </c>
      <c r="C400" s="20"/>
      <c r="D400" s="20"/>
      <c r="E400" s="20"/>
      <c r="F400" s="20"/>
    </row>
    <row r="402" spans="2:6" x14ac:dyDescent="0.25">
      <c r="B402" s="74" t="s">
        <v>103</v>
      </c>
      <c r="C402" s="75" t="e">
        <f>SUM(C403:C404)</f>
        <v>#DIV/0!</v>
      </c>
      <c r="D402" s="75" t="e">
        <f>SUM(D403:D404)</f>
        <v>#DIV/0!</v>
      </c>
      <c r="E402" s="76" t="e">
        <f>SUM(E403:E404)</f>
        <v>#DIV/0!</v>
      </c>
      <c r="F402" s="77" t="e">
        <f>(E402/E$433)*100</f>
        <v>#DIV/0!</v>
      </c>
    </row>
    <row r="403" spans="2:6" x14ac:dyDescent="0.25">
      <c r="B403" s="15" t="s">
        <v>40</v>
      </c>
      <c r="C403" s="78" t="e">
        <f>D215</f>
        <v>#DIV/0!</v>
      </c>
      <c r="D403" s="43" t="e">
        <f>C403*F$15</f>
        <v>#DIV/0!</v>
      </c>
      <c r="E403" s="79" t="e">
        <f>C403/((C$34+C$35)/C$38)</f>
        <v>#DIV/0!</v>
      </c>
      <c r="F403" s="80" t="e">
        <f>(E403/E$433)*100</f>
        <v>#DIV/0!</v>
      </c>
    </row>
    <row r="404" spans="2:6" x14ac:dyDescent="0.25">
      <c r="B404" s="15" t="s">
        <v>157</v>
      </c>
      <c r="C404" s="78" t="e">
        <f>F224</f>
        <v>#DIV/0!</v>
      </c>
      <c r="D404" s="43" t="e">
        <f>C404*F$15</f>
        <v>#DIV/0!</v>
      </c>
      <c r="E404" s="79" t="e">
        <f>C404/((C$34+C$35)/C$38)</f>
        <v>#DIV/0!</v>
      </c>
      <c r="F404" s="80" t="e">
        <f>(E404/E$433)*100</f>
        <v>#DIV/0!</v>
      </c>
    </row>
    <row r="405" spans="2:6" x14ac:dyDescent="0.25">
      <c r="E405" s="81"/>
      <c r="F405" s="80"/>
    </row>
    <row r="406" spans="2:6" x14ac:dyDescent="0.25">
      <c r="B406" s="74" t="s">
        <v>117</v>
      </c>
      <c r="C406" s="75" t="e">
        <f>SUM(C407:C409)</f>
        <v>#DIV/0!</v>
      </c>
      <c r="D406" s="75" t="e">
        <f>SUM(D407:D409)</f>
        <v>#DIV/0!</v>
      </c>
      <c r="E406" s="76" t="e">
        <f>SUM(E407:E409)</f>
        <v>#DIV/0!</v>
      </c>
      <c r="F406" s="77" t="e">
        <f>(E406/E$433)*100</f>
        <v>#DIV/0!</v>
      </c>
    </row>
    <row r="407" spans="2:6" x14ac:dyDescent="0.25">
      <c r="B407" s="15" t="s">
        <v>40</v>
      </c>
      <c r="C407" s="43" t="e">
        <f>D308</f>
        <v>#DIV/0!</v>
      </c>
      <c r="D407" s="43" t="e">
        <f>C407*F$15</f>
        <v>#DIV/0!</v>
      </c>
      <c r="E407" s="79" t="e">
        <f>C407/((C$34+C$35)/C$38)</f>
        <v>#DIV/0!</v>
      </c>
      <c r="F407" s="80" t="e">
        <f>(E407/E$433)*100</f>
        <v>#DIV/0!</v>
      </c>
    </row>
    <row r="408" spans="2:6" x14ac:dyDescent="0.25">
      <c r="B408" s="15" t="s">
        <v>158</v>
      </c>
      <c r="C408" s="43" t="e">
        <f>F317</f>
        <v>#DIV/0!</v>
      </c>
      <c r="D408" s="43" t="e">
        <f>C408*F$15</f>
        <v>#DIV/0!</v>
      </c>
      <c r="E408" s="79" t="e">
        <f>C408/((C$34+C$35)/C$38)</f>
        <v>#DIV/0!</v>
      </c>
      <c r="F408" s="80" t="e">
        <f>(E408/E$433)*100</f>
        <v>#DIV/0!</v>
      </c>
    </row>
    <row r="409" spans="2:6" x14ac:dyDescent="0.25">
      <c r="B409" s="15" t="s">
        <v>157</v>
      </c>
      <c r="C409" s="43" t="e">
        <f>F326</f>
        <v>#DIV/0!</v>
      </c>
      <c r="D409" s="43" t="e">
        <f>C409*F$15</f>
        <v>#DIV/0!</v>
      </c>
      <c r="E409" s="79" t="e">
        <f>C409/((C$34+C$35)/C$38)</f>
        <v>#DIV/0!</v>
      </c>
      <c r="F409" s="80" t="e">
        <f>(E409/E$433)*100</f>
        <v>#DIV/0!</v>
      </c>
    </row>
    <row r="410" spans="2:6" x14ac:dyDescent="0.25">
      <c r="E410" s="81"/>
      <c r="F410" s="80"/>
    </row>
    <row r="411" spans="2:6" x14ac:dyDescent="0.25">
      <c r="B411" s="74" t="s">
        <v>159</v>
      </c>
      <c r="C411" s="75" t="e">
        <f>SUM(C412:C416)</f>
        <v>#DIV/0!</v>
      </c>
      <c r="D411" s="75" t="e">
        <f>SUM(D412:D416)</f>
        <v>#DIV/0!</v>
      </c>
      <c r="E411" s="76" t="e">
        <f>SUM(E412:E416)</f>
        <v>#DIV/0!</v>
      </c>
      <c r="F411" s="77" t="e">
        <f t="shared" ref="F411:F416" si="11">(E411/E$433)*100</f>
        <v>#DIV/0!</v>
      </c>
    </row>
    <row r="412" spans="2:6" x14ac:dyDescent="0.25">
      <c r="B412" s="15" t="s">
        <v>160</v>
      </c>
      <c r="C412" s="43">
        <f>G336+G337+G338</f>
        <v>0</v>
      </c>
      <c r="D412" s="43">
        <f>C412*F$15</f>
        <v>0</v>
      </c>
      <c r="E412" s="79" t="e">
        <f>C412/C$40</f>
        <v>#DIV/0!</v>
      </c>
      <c r="F412" s="80" t="e">
        <f t="shared" si="11"/>
        <v>#DIV/0!</v>
      </c>
    </row>
    <row r="413" spans="2:6" x14ac:dyDescent="0.25">
      <c r="B413" s="15" t="s">
        <v>161</v>
      </c>
      <c r="C413" s="43">
        <f>F347</f>
        <v>0</v>
      </c>
      <c r="D413" s="43">
        <f>C413*F$15</f>
        <v>0</v>
      </c>
      <c r="E413" s="79" t="e">
        <f>C413/C$40</f>
        <v>#DIV/0!</v>
      </c>
      <c r="F413" s="80" t="e">
        <f t="shared" si="11"/>
        <v>#DIV/0!</v>
      </c>
    </row>
    <row r="414" spans="2:6" x14ac:dyDescent="0.25">
      <c r="B414" s="15" t="s">
        <v>162</v>
      </c>
      <c r="C414" s="43">
        <f>F356</f>
        <v>0</v>
      </c>
      <c r="D414" s="43">
        <f>C414*F$15</f>
        <v>0</v>
      </c>
      <c r="E414" s="79" t="e">
        <f>C414/C$40</f>
        <v>#DIV/0!</v>
      </c>
      <c r="F414" s="80" t="e">
        <f t="shared" si="11"/>
        <v>#DIV/0!</v>
      </c>
    </row>
    <row r="415" spans="2:6" x14ac:dyDescent="0.25">
      <c r="B415" s="15" t="s">
        <v>163</v>
      </c>
      <c r="C415" s="43" t="e">
        <f>C23/F15</f>
        <v>#DIV/0!</v>
      </c>
      <c r="D415" s="43" t="e">
        <f>C415*F$15</f>
        <v>#DIV/0!</v>
      </c>
      <c r="E415" s="79" t="e">
        <f>C415/C$40</f>
        <v>#DIV/0!</v>
      </c>
      <c r="F415" s="80" t="e">
        <f t="shared" si="11"/>
        <v>#DIV/0!</v>
      </c>
    </row>
    <row r="416" spans="2:6" x14ac:dyDescent="0.25">
      <c r="B416" s="15" t="s">
        <v>164</v>
      </c>
      <c r="C416" s="43" t="e">
        <f>C25/F15</f>
        <v>#DIV/0!</v>
      </c>
      <c r="D416" s="43" t="e">
        <f>C416*F$15</f>
        <v>#DIV/0!</v>
      </c>
      <c r="E416" s="79" t="e">
        <f>C416/C$40</f>
        <v>#DIV/0!</v>
      </c>
      <c r="F416" s="80" t="e">
        <f t="shared" si="11"/>
        <v>#DIV/0!</v>
      </c>
    </row>
    <row r="417" spans="2:7" x14ac:dyDescent="0.25">
      <c r="E417" s="81"/>
      <c r="F417" s="80"/>
    </row>
    <row r="418" spans="2:7" x14ac:dyDescent="0.25">
      <c r="B418" s="74" t="s">
        <v>165</v>
      </c>
      <c r="C418" s="75" t="e">
        <f>SUM(C419:C421)</f>
        <v>#DIV/0!</v>
      </c>
      <c r="D418" s="75" t="e">
        <f>SUM(D419:D421)</f>
        <v>#DIV/0!</v>
      </c>
      <c r="E418" s="76" t="e">
        <f>SUM(E419:E421)</f>
        <v>#DIV/0!</v>
      </c>
      <c r="F418" s="77" t="e">
        <f>(E418/E$433)*100</f>
        <v>#DIV/0!</v>
      </c>
    </row>
    <row r="419" spans="2:7" x14ac:dyDescent="0.25">
      <c r="B419" s="15" t="s">
        <v>166</v>
      </c>
      <c r="C419" s="43" t="e">
        <f>F366</f>
        <v>#DIV/0!</v>
      </c>
      <c r="D419" s="43" t="e">
        <f>C419*F$15</f>
        <v>#DIV/0!</v>
      </c>
      <c r="E419" s="79" t="e">
        <f>C419/C$40</f>
        <v>#DIV/0!</v>
      </c>
      <c r="F419" s="80" t="e">
        <f>(E419/E$433)*100</f>
        <v>#DIV/0!</v>
      </c>
    </row>
    <row r="420" spans="2:7" x14ac:dyDescent="0.25">
      <c r="B420" s="15" t="s">
        <v>34</v>
      </c>
      <c r="C420" s="43">
        <f>C28/12</f>
        <v>0</v>
      </c>
      <c r="D420" s="43">
        <f>C420*F$15</f>
        <v>0</v>
      </c>
      <c r="E420" s="79" t="e">
        <f>C420/C$40</f>
        <v>#DIV/0!</v>
      </c>
      <c r="F420" s="80" t="e">
        <f>(E420/E$433)*100</f>
        <v>#DIV/0!</v>
      </c>
    </row>
    <row r="421" spans="2:7" x14ac:dyDescent="0.25">
      <c r="B421" s="15" t="s">
        <v>33</v>
      </c>
      <c r="C421" s="43">
        <f>C29/12</f>
        <v>0</v>
      </c>
      <c r="D421" s="43">
        <f>C421*F$15</f>
        <v>0</v>
      </c>
      <c r="E421" s="79" t="e">
        <f>C421/C$40</f>
        <v>#DIV/0!</v>
      </c>
      <c r="F421" s="80" t="e">
        <f>(E421/E$433)*100</f>
        <v>#DIV/0!</v>
      </c>
    </row>
    <row r="422" spans="2:7" x14ac:dyDescent="0.25">
      <c r="E422" s="81"/>
    </row>
    <row r="423" spans="2:7" x14ac:dyDescent="0.25">
      <c r="B423" s="71" t="s">
        <v>167</v>
      </c>
      <c r="C423" s="82" t="e">
        <f>C418+C411+C406+C402</f>
        <v>#DIV/0!</v>
      </c>
      <c r="D423" s="82" t="e">
        <f>D418+D411+D406+D402</f>
        <v>#DIV/0!</v>
      </c>
      <c r="E423" s="83" t="e">
        <f>E418+E411+E406+E402</f>
        <v>#DIV/0!</v>
      </c>
      <c r="F423" s="73" t="e">
        <f>(E423/E$433)*100</f>
        <v>#DIV/0!</v>
      </c>
      <c r="G423" s="52"/>
    </row>
    <row r="424" spans="2:7" x14ac:dyDescent="0.25">
      <c r="F424" s="52"/>
    </row>
    <row r="425" spans="2:7" x14ac:dyDescent="0.25">
      <c r="B425" s="1" t="s">
        <v>168</v>
      </c>
      <c r="C425" s="20"/>
      <c r="D425" s="20"/>
      <c r="E425" s="20"/>
      <c r="F425" s="20"/>
    </row>
    <row r="426" spans="2:7" x14ac:dyDescent="0.25">
      <c r="F426" s="52"/>
    </row>
    <row r="427" spans="2:7" x14ac:dyDescent="0.25">
      <c r="B427" s="74" t="s">
        <v>149</v>
      </c>
      <c r="C427" s="75" t="e">
        <f>E384/F15</f>
        <v>#DIV/0!</v>
      </c>
      <c r="D427" s="75" t="e">
        <f>C427*F15</f>
        <v>#DIV/0!</v>
      </c>
      <c r="E427" s="76" t="e">
        <f>C427/C40</f>
        <v>#DIV/0!</v>
      </c>
      <c r="F427" s="84" t="e">
        <f>-(E427/E$433)*100</f>
        <v>#DIV/0!</v>
      </c>
      <c r="G427" s="52"/>
    </row>
    <row r="428" spans="2:7" x14ac:dyDescent="0.25">
      <c r="F428" s="52"/>
    </row>
    <row r="429" spans="2:7" x14ac:dyDescent="0.25">
      <c r="B429" s="1" t="s">
        <v>169</v>
      </c>
      <c r="C429" s="20"/>
      <c r="D429" s="20"/>
      <c r="E429" s="20"/>
      <c r="F429" s="20"/>
    </row>
    <row r="430" spans="2:7" x14ac:dyDescent="0.25">
      <c r="F430" s="52"/>
    </row>
    <row r="431" spans="2:7" x14ac:dyDescent="0.25">
      <c r="B431" s="71" t="s">
        <v>170</v>
      </c>
      <c r="C431" s="41"/>
      <c r="D431" s="41"/>
      <c r="E431" s="83" t="e">
        <f>E423+E398-E427</f>
        <v>#DIV/0!</v>
      </c>
      <c r="F431" s="73" t="e">
        <f>(E431/E$433)*100</f>
        <v>#DIV/0!</v>
      </c>
      <c r="G431" s="52"/>
    </row>
    <row r="432" spans="2:7" x14ac:dyDescent="0.25">
      <c r="F432" s="52"/>
    </row>
    <row r="433" spans="1:8" x14ac:dyDescent="0.25">
      <c r="B433" s="71" t="s">
        <v>171</v>
      </c>
      <c r="C433" s="71"/>
      <c r="D433" s="71"/>
      <c r="E433" s="83" t="e">
        <f>E431*((100/(100-(E377))))</f>
        <v>#DIV/0!</v>
      </c>
      <c r="F433" s="73" t="e">
        <f>(E433/E$433)*100</f>
        <v>#DIV/0!</v>
      </c>
      <c r="G433" s="52"/>
    </row>
    <row r="435" spans="1:8" x14ac:dyDescent="0.25">
      <c r="C435" s="85" t="s">
        <v>172</v>
      </c>
      <c r="D435" s="86" t="e">
        <f>E433/C51</f>
        <v>#DIV/0!</v>
      </c>
    </row>
    <row r="437" spans="1:8" x14ac:dyDescent="0.25">
      <c r="C437" s="28"/>
      <c r="D437" s="87"/>
    </row>
    <row r="438" spans="1:8" x14ac:dyDescent="0.25">
      <c r="C438" s="28"/>
      <c r="D438" s="87"/>
    </row>
    <row r="439" spans="1:8" x14ac:dyDescent="0.25">
      <c r="C439" s="28"/>
      <c r="D439" s="87"/>
    </row>
    <row r="440" spans="1:8" x14ac:dyDescent="0.25">
      <c r="C440" s="28"/>
      <c r="D440" s="87"/>
    </row>
    <row r="442" spans="1:8" x14ac:dyDescent="0.25">
      <c r="C442" s="28"/>
      <c r="D442" s="88"/>
    </row>
    <row r="443" spans="1:8" x14ac:dyDescent="0.25">
      <c r="A443" s="66"/>
      <c r="B443" s="20"/>
      <c r="C443" s="20"/>
      <c r="D443" s="20"/>
      <c r="E443" s="20"/>
      <c r="F443" s="20"/>
      <c r="G443" s="20"/>
      <c r="H443" s="20"/>
    </row>
  </sheetData>
  <pageMargins left="0.51181102362204722" right="0.51181102362204722" top="0.78740157480314965" bottom="0.78740157480314965" header="0.51181102362204722" footer="0.51181102362204722"/>
  <pageSetup paperSize="9" scale="71" firstPageNumber="0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Tarifa Teto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ideal</dc:creator>
  <cp:lastModifiedBy>usuario</cp:lastModifiedBy>
  <cp:revision>13</cp:revision>
  <cp:lastPrinted>2017-07-07T06:33:21Z</cp:lastPrinted>
  <dcterms:created xsi:type="dcterms:W3CDTF">2016-09-06T12:39:13Z</dcterms:created>
  <dcterms:modified xsi:type="dcterms:W3CDTF">2018-01-09T15:46:30Z</dcterms:modified>
  <dc:language>pt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