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MRG MARLON\Licitação RSU\Novo TCE\"/>
    </mc:Choice>
  </mc:AlternateContent>
  <xr:revisionPtr revIDLastSave="0" documentId="13_ncr:1_{244E9228-73EA-44E4-BA81-EDC8A9DDBCD6}" xr6:coauthVersionLast="47" xr6:coauthVersionMax="47" xr10:uidLastSave="{00000000-0000-0000-0000-000000000000}"/>
  <bookViews>
    <workbookView xWindow="-120" yWindow="-120" windowWidth="20730" windowHeight="11160" xr2:uid="{DA27A092-163F-4D37-8628-A2CCB29E00D5}"/>
  </bookViews>
  <sheets>
    <sheet name="PLANILHA ALTERA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8" i="1" l="1"/>
  <c r="E518" i="1" s="1"/>
  <c r="D519" i="1" s="1"/>
  <c r="E519" i="1" s="1"/>
  <c r="E516" i="1"/>
  <c r="D517" i="1" s="1"/>
  <c r="E517" i="1" s="1"/>
  <c r="E508" i="1"/>
  <c r="E507" i="1"/>
  <c r="E506" i="1"/>
  <c r="E505" i="1"/>
  <c r="E504" i="1"/>
  <c r="C495" i="1"/>
  <c r="C493" i="1"/>
  <c r="E493" i="1" s="1"/>
  <c r="E491" i="1"/>
  <c r="E485" i="1"/>
  <c r="F486" i="1" s="1"/>
  <c r="E37" i="1" s="1"/>
  <c r="C485" i="1"/>
  <c r="D478" i="1"/>
  <c r="C478" i="1"/>
  <c r="E468" i="1"/>
  <c r="E467" i="1"/>
  <c r="D455" i="1"/>
  <c r="E455" i="1" s="1"/>
  <c r="C448" i="1"/>
  <c r="E444" i="1"/>
  <c r="D466" i="1" s="1"/>
  <c r="E466" i="1" s="1"/>
  <c r="C437" i="1"/>
  <c r="C435" i="1"/>
  <c r="E435" i="1" s="1"/>
  <c r="D436" i="1" s="1"/>
  <c r="E436" i="1" s="1"/>
  <c r="D437" i="1" s="1"/>
  <c r="E437" i="1" s="1"/>
  <c r="F438" i="1" s="1"/>
  <c r="E31" i="1" s="1"/>
  <c r="E433" i="1"/>
  <c r="D421" i="1"/>
  <c r="D419" i="1"/>
  <c r="D417" i="1"/>
  <c r="D415" i="1"/>
  <c r="D413" i="1"/>
  <c r="C413" i="1"/>
  <c r="C421" i="1" s="1"/>
  <c r="E406" i="1"/>
  <c r="C404" i="1"/>
  <c r="E404" i="1" s="1"/>
  <c r="C403" i="1"/>
  <c r="E403" i="1" s="1"/>
  <c r="C402" i="1"/>
  <c r="E398" i="1"/>
  <c r="C397" i="1"/>
  <c r="C392" i="1"/>
  <c r="D391" i="1"/>
  <c r="C391" i="1"/>
  <c r="E391" i="1" s="1"/>
  <c r="D386" i="1"/>
  <c r="E386" i="1" s="1"/>
  <c r="E382" i="1"/>
  <c r="E375" i="1"/>
  <c r="C375" i="1"/>
  <c r="C374" i="1"/>
  <c r="E370" i="1"/>
  <c r="C388" i="1" s="1"/>
  <c r="E359" i="1"/>
  <c r="D357" i="1"/>
  <c r="E357" i="1" s="1"/>
  <c r="D356" i="1"/>
  <c r="E356" i="1" s="1"/>
  <c r="E355" i="1"/>
  <c r="D355" i="1"/>
  <c r="D354" i="1"/>
  <c r="E354" i="1" s="1"/>
  <c r="E353" i="1"/>
  <c r="D353" i="1"/>
  <c r="D352" i="1"/>
  <c r="E352" i="1" s="1"/>
  <c r="D351" i="1"/>
  <c r="D358" i="1" s="1"/>
  <c r="E358" i="1" s="1"/>
  <c r="F359" i="1" s="1"/>
  <c r="E346" i="1"/>
  <c r="C345" i="1"/>
  <c r="E344" i="1"/>
  <c r="E343" i="1"/>
  <c r="E342" i="1"/>
  <c r="E341" i="1"/>
  <c r="E340" i="1"/>
  <c r="E339" i="1"/>
  <c r="E338" i="1"/>
  <c r="E337" i="1"/>
  <c r="E336" i="1"/>
  <c r="E335" i="1"/>
  <c r="E334" i="1"/>
  <c r="C323" i="1"/>
  <c r="E323" i="1" s="1"/>
  <c r="C322" i="1"/>
  <c r="E322" i="1" s="1"/>
  <c r="E321" i="1"/>
  <c r="C321" i="1"/>
  <c r="C320" i="1"/>
  <c r="E320" i="1" s="1"/>
  <c r="E319" i="1"/>
  <c r="C319" i="1"/>
  <c r="C318" i="1"/>
  <c r="E318" i="1" s="1"/>
  <c r="C317" i="1"/>
  <c r="E317" i="1" s="1"/>
  <c r="C316" i="1"/>
  <c r="E316" i="1" s="1"/>
  <c r="C315" i="1"/>
  <c r="E315" i="1" s="1"/>
  <c r="C309" i="1"/>
  <c r="C308" i="1"/>
  <c r="C307" i="1"/>
  <c r="C306" i="1"/>
  <c r="C305" i="1"/>
  <c r="C304" i="1"/>
  <c r="C303" i="1"/>
  <c r="C302" i="1"/>
  <c r="C301" i="1"/>
  <c r="E294" i="1"/>
  <c r="D287" i="1"/>
  <c r="E287" i="1" s="1"/>
  <c r="D286" i="1"/>
  <c r="E286" i="1" s="1"/>
  <c r="E285" i="1"/>
  <c r="D309" i="1" s="1"/>
  <c r="E309" i="1" s="1"/>
  <c r="D273" i="1"/>
  <c r="C273" i="1"/>
  <c r="E273" i="1" s="1"/>
  <c r="E271" i="1"/>
  <c r="D271" i="1"/>
  <c r="D270" i="1"/>
  <c r="C270" i="1"/>
  <c r="D268" i="1"/>
  <c r="E268" i="1" s="1"/>
  <c r="E267" i="1"/>
  <c r="D267" i="1"/>
  <c r="C267" i="1"/>
  <c r="E264" i="1"/>
  <c r="E260" i="1"/>
  <c r="D253" i="1"/>
  <c r="E253" i="1" s="1"/>
  <c r="D252" i="1"/>
  <c r="E252" i="1" s="1"/>
  <c r="E251" i="1"/>
  <c r="E246" i="1"/>
  <c r="D239" i="1"/>
  <c r="E239" i="1" s="1"/>
  <c r="D238" i="1"/>
  <c r="E238" i="1" s="1"/>
  <c r="E237" i="1"/>
  <c r="D305" i="1" s="1"/>
  <c r="E305" i="1" s="1"/>
  <c r="D225" i="1"/>
  <c r="C225" i="1"/>
  <c r="E225" i="1" s="1"/>
  <c r="D223" i="1"/>
  <c r="E223" i="1" s="1"/>
  <c r="D222" i="1"/>
  <c r="C222" i="1"/>
  <c r="D220" i="1"/>
  <c r="E220" i="1" s="1"/>
  <c r="D219" i="1"/>
  <c r="E219" i="1" s="1"/>
  <c r="C219" i="1"/>
  <c r="E216" i="1"/>
  <c r="E212" i="1"/>
  <c r="D205" i="1"/>
  <c r="E205" i="1" s="1"/>
  <c r="D204" i="1"/>
  <c r="E204" i="1" s="1"/>
  <c r="E203" i="1"/>
  <c r="D191" i="1"/>
  <c r="C191" i="1"/>
  <c r="D189" i="1"/>
  <c r="E189" i="1" s="1"/>
  <c r="D188" i="1"/>
  <c r="C188" i="1"/>
  <c r="E188" i="1" s="1"/>
  <c r="D186" i="1"/>
  <c r="E186" i="1" s="1"/>
  <c r="D185" i="1"/>
  <c r="C185" i="1"/>
  <c r="E185" i="1" s="1"/>
  <c r="E182" i="1"/>
  <c r="E178" i="1"/>
  <c r="D171" i="1"/>
  <c r="E171" i="1" s="1"/>
  <c r="D170" i="1"/>
  <c r="E170" i="1" s="1"/>
  <c r="E169" i="1"/>
  <c r="D306" i="1" s="1"/>
  <c r="E306" i="1" s="1"/>
  <c r="E164" i="1"/>
  <c r="D157" i="1"/>
  <c r="E157" i="1" s="1"/>
  <c r="D156" i="1"/>
  <c r="E156" i="1" s="1"/>
  <c r="E155" i="1"/>
  <c r="D307" i="1" s="1"/>
  <c r="E150" i="1"/>
  <c r="D143" i="1"/>
  <c r="E143" i="1" s="1"/>
  <c r="D142" i="1"/>
  <c r="E142" i="1" s="1"/>
  <c r="E141" i="1"/>
  <c r="E137" i="1"/>
  <c r="C132" i="1"/>
  <c r="C129" i="1"/>
  <c r="C126" i="1"/>
  <c r="C123" i="1"/>
  <c r="D121" i="1"/>
  <c r="D120" i="1"/>
  <c r="D126" i="1" s="1"/>
  <c r="E126" i="1" s="1"/>
  <c r="D108" i="1"/>
  <c r="E108" i="1" s="1"/>
  <c r="D107" i="1"/>
  <c r="E107" i="1" s="1"/>
  <c r="E105" i="1"/>
  <c r="E101" i="1"/>
  <c r="C96" i="1"/>
  <c r="C94" i="1"/>
  <c r="D91" i="1"/>
  <c r="C91" i="1"/>
  <c r="C88" i="1"/>
  <c r="D86" i="1"/>
  <c r="E82" i="1"/>
  <c r="E75" i="1"/>
  <c r="D75" i="1"/>
  <c r="D74" i="1"/>
  <c r="E74" i="1" s="1"/>
  <c r="E73" i="1"/>
  <c r="D302" i="1" s="1"/>
  <c r="E302" i="1" s="1"/>
  <c r="E64" i="1"/>
  <c r="A64" i="1"/>
  <c r="E61" i="1"/>
  <c r="A50" i="1"/>
  <c r="A49" i="1"/>
  <c r="A48" i="1"/>
  <c r="A47" i="1"/>
  <c r="A41" i="1"/>
  <c r="A40" i="1"/>
  <c r="A39" i="1"/>
  <c r="A31" i="1"/>
  <c r="A30" i="1"/>
  <c r="A29" i="1"/>
  <c r="A28" i="1"/>
  <c r="A27" i="1"/>
  <c r="A26" i="1"/>
  <c r="A25" i="1"/>
  <c r="A24" i="1"/>
  <c r="A23" i="1"/>
  <c r="A10" i="1"/>
  <c r="A9" i="1"/>
  <c r="A8" i="1"/>
  <c r="A7" i="1"/>
  <c r="A6" i="1"/>
  <c r="F324" i="1" l="1"/>
  <c r="E402" i="1"/>
  <c r="E270" i="1"/>
  <c r="E421" i="1"/>
  <c r="D447" i="1"/>
  <c r="E447" i="1" s="1"/>
  <c r="D448" i="1" s="1"/>
  <c r="E448" i="1" s="1"/>
  <c r="E449" i="1" s="1"/>
  <c r="D450" i="1" s="1"/>
  <c r="E450" i="1" s="1"/>
  <c r="F451" i="1" s="1"/>
  <c r="E33" i="1" s="1"/>
  <c r="F520" i="1"/>
  <c r="F522" i="1" s="1"/>
  <c r="E40" i="1" s="1"/>
  <c r="D206" i="1"/>
  <c r="E206" i="1" s="1"/>
  <c r="D207" i="1" s="1"/>
  <c r="E207" i="1" s="1"/>
  <c r="E222" i="1"/>
  <c r="D226" i="1" s="1"/>
  <c r="E226" i="1" s="1"/>
  <c r="E307" i="1"/>
  <c r="D254" i="1"/>
  <c r="E254" i="1" s="1"/>
  <c r="E91" i="1"/>
  <c r="E191" i="1"/>
  <c r="D192" i="1" s="1"/>
  <c r="E192" i="1" s="1"/>
  <c r="E351" i="1"/>
  <c r="D402" i="1"/>
  <c r="D469" i="1"/>
  <c r="E469" i="1" s="1"/>
  <c r="F470" i="1" s="1"/>
  <c r="E35" i="1" s="1"/>
  <c r="E478" i="1"/>
  <c r="F480" i="1" s="1"/>
  <c r="E36" i="1" s="1"/>
  <c r="D494" i="1"/>
  <c r="E494" i="1" s="1"/>
  <c r="D495" i="1" s="1"/>
  <c r="E495" i="1" s="1"/>
  <c r="F496" i="1" s="1"/>
  <c r="E38" i="1" s="1"/>
  <c r="F509" i="1"/>
  <c r="F511" i="1" s="1"/>
  <c r="E39" i="1" s="1"/>
  <c r="D422" i="1"/>
  <c r="D109" i="1"/>
  <c r="E109" i="1" s="1"/>
  <c r="D123" i="1"/>
  <c r="E123" i="1" s="1"/>
  <c r="C417" i="1"/>
  <c r="E417" i="1" s="1"/>
  <c r="E413" i="1"/>
  <c r="D144" i="1"/>
  <c r="E144" i="1" s="1"/>
  <c r="D145" i="1" s="1"/>
  <c r="E145" i="1" s="1"/>
  <c r="D172" i="1"/>
  <c r="E172" i="1" s="1"/>
  <c r="D405" i="1"/>
  <c r="E405" i="1" s="1"/>
  <c r="F406" i="1" s="1"/>
  <c r="E28" i="1" s="1"/>
  <c r="C389" i="1"/>
  <c r="D390" i="1" s="1"/>
  <c r="E390" i="1" s="1"/>
  <c r="E22" i="1"/>
  <c r="D303" i="1"/>
  <c r="E303" i="1" s="1"/>
  <c r="D228" i="1"/>
  <c r="E228" i="1" s="1"/>
  <c r="E229" i="1" s="1"/>
  <c r="D240" i="1"/>
  <c r="E240" i="1" s="1"/>
  <c r="D241" i="1" s="1"/>
  <c r="E241" i="1" s="1"/>
  <c r="E242" i="1" s="1"/>
  <c r="D88" i="1"/>
  <c r="E88" i="1" s="1"/>
  <c r="D92" i="1"/>
  <c r="E92" i="1" s="1"/>
  <c r="E86" i="1"/>
  <c r="D94" i="1"/>
  <c r="E94" i="1" s="1"/>
  <c r="C393" i="1"/>
  <c r="D378" i="1"/>
  <c r="E378" i="1" s="1"/>
  <c r="D379" i="1" s="1"/>
  <c r="E379" i="1" s="1"/>
  <c r="D76" i="1"/>
  <c r="E76" i="1" s="1"/>
  <c r="D301" i="1"/>
  <c r="E301" i="1" s="1"/>
  <c r="D111" i="1"/>
  <c r="E111" i="1" s="1"/>
  <c r="E112" i="1" s="1"/>
  <c r="D158" i="1"/>
  <c r="E158" i="1" s="1"/>
  <c r="D159" i="1" s="1"/>
  <c r="E159" i="1" s="1"/>
  <c r="D255" i="1"/>
  <c r="E255" i="1" s="1"/>
  <c r="E256" i="1" s="1"/>
  <c r="D129" i="1"/>
  <c r="E129" i="1" s="1"/>
  <c r="D124" i="1"/>
  <c r="E124" i="1" s="1"/>
  <c r="D127" i="1"/>
  <c r="E127" i="1" s="1"/>
  <c r="D89" i="1"/>
  <c r="E89" i="1" s="1"/>
  <c r="E120" i="1"/>
  <c r="D274" i="1"/>
  <c r="E274" i="1" s="1"/>
  <c r="D276" i="1" s="1"/>
  <c r="E276" i="1" s="1"/>
  <c r="D304" i="1"/>
  <c r="E304" i="1" s="1"/>
  <c r="D345" i="1"/>
  <c r="E345" i="1" s="1"/>
  <c r="F346" i="1" s="1"/>
  <c r="F361" i="1" s="1"/>
  <c r="E23" i="1" s="1"/>
  <c r="D288" i="1"/>
  <c r="E288" i="1" s="1"/>
  <c r="D289" i="1" s="1"/>
  <c r="E289" i="1" s="1"/>
  <c r="D373" i="1"/>
  <c r="E373" i="1" s="1"/>
  <c r="D374" i="1" s="1"/>
  <c r="E374" i="1" s="1"/>
  <c r="C419" i="1"/>
  <c r="E419" i="1" s="1"/>
  <c r="C427" i="1"/>
  <c r="E427" i="1" s="1"/>
  <c r="F428" i="1" s="1"/>
  <c r="E30" i="1" s="1"/>
  <c r="C457" i="1"/>
  <c r="C458" i="1" s="1"/>
  <c r="D459" i="1" s="1"/>
  <c r="E459" i="1" s="1"/>
  <c r="E460" i="1" s="1"/>
  <c r="D461" i="1" s="1"/>
  <c r="E461" i="1" s="1"/>
  <c r="F462" i="1" s="1"/>
  <c r="E34" i="1" s="1"/>
  <c r="D308" i="1"/>
  <c r="E308" i="1" s="1"/>
  <c r="C415" i="1"/>
  <c r="E415" i="1" s="1"/>
  <c r="D173" i="1"/>
  <c r="E173" i="1" s="1"/>
  <c r="E174" i="1" s="1"/>
  <c r="D194" i="1" l="1"/>
  <c r="E194" i="1" s="1"/>
  <c r="E195" i="1" s="1"/>
  <c r="D196" i="1" s="1"/>
  <c r="E196" i="1" s="1"/>
  <c r="E197" i="1" s="1"/>
  <c r="D198" i="1" s="1"/>
  <c r="E198" i="1" s="1"/>
  <c r="F199" i="1" s="1"/>
  <c r="E14" i="1" s="1"/>
  <c r="C394" i="1"/>
  <c r="D395" i="1" s="1"/>
  <c r="E395" i="1" s="1"/>
  <c r="E396" i="1" s="1"/>
  <c r="D397" i="1" s="1"/>
  <c r="E397" i="1" s="1"/>
  <c r="F398" i="1" s="1"/>
  <c r="E27" i="1" s="1"/>
  <c r="E208" i="1"/>
  <c r="E380" i="1"/>
  <c r="D381" i="1" s="1"/>
  <c r="E381" i="1" s="1"/>
  <c r="F382" i="1" s="1"/>
  <c r="F423" i="1"/>
  <c r="E29" i="1" s="1"/>
  <c r="D113" i="1"/>
  <c r="E113" i="1" s="1"/>
  <c r="E114" i="1" s="1"/>
  <c r="D115" i="1" s="1"/>
  <c r="E115" i="1" s="1"/>
  <c r="F116" i="1" s="1"/>
  <c r="E9" i="1" s="1"/>
  <c r="D257" i="1"/>
  <c r="E257" i="1" s="1"/>
  <c r="E258" i="1" s="1"/>
  <c r="D259" i="1" s="1"/>
  <c r="E259" i="1" s="1"/>
  <c r="F260" i="1" s="1"/>
  <c r="E18" i="1" s="1"/>
  <c r="D230" i="1"/>
  <c r="E230" i="1" s="1"/>
  <c r="E231" i="1" s="1"/>
  <c r="D232" i="1" s="1"/>
  <c r="E232" i="1" s="1"/>
  <c r="F233" i="1" s="1"/>
  <c r="E16" i="1" s="1"/>
  <c r="D243" i="1"/>
  <c r="E243" i="1" s="1"/>
  <c r="E244" i="1" s="1"/>
  <c r="D245" i="1" s="1"/>
  <c r="E245" i="1" s="1"/>
  <c r="F246" i="1" s="1"/>
  <c r="E17" i="1" s="1"/>
  <c r="E26" i="1"/>
  <c r="E160" i="1"/>
  <c r="D209" i="1"/>
  <c r="E209" i="1" s="1"/>
  <c r="E210" i="1" s="1"/>
  <c r="D211" i="1" s="1"/>
  <c r="E211" i="1" s="1"/>
  <c r="F212" i="1" s="1"/>
  <c r="E15" i="1" s="1"/>
  <c r="E146" i="1"/>
  <c r="D130" i="1"/>
  <c r="E130" i="1" s="1"/>
  <c r="D132" i="1" s="1"/>
  <c r="E132" i="1" s="1"/>
  <c r="E133" i="1" s="1"/>
  <c r="D95" i="1"/>
  <c r="E95" i="1" s="1"/>
  <c r="D96" i="1" s="1"/>
  <c r="E96" i="1" s="1"/>
  <c r="E32" i="1"/>
  <c r="F311" i="1"/>
  <c r="E277" i="1"/>
  <c r="E78" i="1"/>
  <c r="E290" i="1"/>
  <c r="D77" i="1"/>
  <c r="E77" i="1" s="1"/>
  <c r="D175" i="1"/>
  <c r="E175" i="1" s="1"/>
  <c r="E176" i="1" s="1"/>
  <c r="D177" i="1" s="1"/>
  <c r="E177" i="1" s="1"/>
  <c r="F178" i="1" s="1"/>
  <c r="E13" i="1" s="1"/>
  <c r="D134" i="1" l="1"/>
  <c r="E134" i="1" s="1"/>
  <c r="E135" i="1"/>
  <c r="D136" i="1" s="1"/>
  <c r="E136" i="1" s="1"/>
  <c r="F137" i="1" s="1"/>
  <c r="E10" i="1" s="1"/>
  <c r="D161" i="1"/>
  <c r="E161" i="1" s="1"/>
  <c r="E162" i="1" s="1"/>
  <c r="D163" i="1" s="1"/>
  <c r="E163" i="1" s="1"/>
  <c r="F164" i="1" s="1"/>
  <c r="E12" i="1" s="1"/>
  <c r="D278" i="1"/>
  <c r="E278" i="1" s="1"/>
  <c r="E279" i="1" s="1"/>
  <c r="D280" i="1" s="1"/>
  <c r="E280" i="1" s="1"/>
  <c r="F281" i="1" s="1"/>
  <c r="E19" i="1" s="1"/>
  <c r="D79" i="1"/>
  <c r="E79" i="1" s="1"/>
  <c r="E80" i="1" s="1"/>
  <c r="D81" i="1" s="1"/>
  <c r="E81" i="1" s="1"/>
  <c r="F82" i="1" s="1"/>
  <c r="E7" i="1" s="1"/>
  <c r="E97" i="1"/>
  <c r="E25" i="1"/>
  <c r="F499" i="1"/>
  <c r="E24" i="1" s="1"/>
  <c r="D291" i="1"/>
  <c r="E291" i="1" s="1"/>
  <c r="E292" i="1" s="1"/>
  <c r="D293" i="1" s="1"/>
  <c r="E293" i="1" s="1"/>
  <c r="F294" i="1" s="1"/>
  <c r="E21" i="1"/>
  <c r="D147" i="1"/>
  <c r="E147" i="1" s="1"/>
  <c r="E148" i="1" s="1"/>
  <c r="D149" i="1" s="1"/>
  <c r="E149" i="1" s="1"/>
  <c r="F150" i="1" s="1"/>
  <c r="E11" i="1" s="1"/>
  <c r="E20" i="1" l="1"/>
  <c r="D98" i="1"/>
  <c r="E98" i="1" s="1"/>
  <c r="E99" i="1" s="1"/>
  <c r="D100" i="1" s="1"/>
  <c r="E100" i="1" s="1"/>
  <c r="F101" i="1" s="1"/>
  <c r="E8" i="1" l="1"/>
  <c r="F326" i="1"/>
  <c r="F524" i="1" l="1"/>
  <c r="E6" i="1"/>
  <c r="D529" i="1" l="1"/>
  <c r="E529" i="1" s="1"/>
  <c r="F530" i="1" s="1"/>
  <c r="F532" i="1" s="1"/>
  <c r="E41" i="1" s="1"/>
  <c r="F535" i="1" l="1"/>
  <c r="F540" i="1" s="1"/>
  <c r="E42" i="1"/>
  <c r="F31" i="1" l="1"/>
  <c r="F36" i="1"/>
  <c r="F40" i="1"/>
  <c r="F33" i="1"/>
  <c r="F38" i="1"/>
  <c r="F39" i="1"/>
  <c r="F35" i="1"/>
  <c r="F37" i="1"/>
  <c r="F29" i="1"/>
  <c r="F34" i="1"/>
  <c r="F22" i="1"/>
  <c r="F30" i="1"/>
  <c r="F28" i="1"/>
  <c r="F23" i="1"/>
  <c r="F15" i="1"/>
  <c r="F9" i="1"/>
  <c r="F26" i="1"/>
  <c r="F13" i="1"/>
  <c r="F14" i="1"/>
  <c r="F32" i="1"/>
  <c r="F16" i="1"/>
  <c r="F27" i="1"/>
  <c r="F17" i="1"/>
  <c r="F18" i="1"/>
  <c r="F21" i="1"/>
  <c r="F24" i="1"/>
  <c r="F12" i="1"/>
  <c r="F10" i="1"/>
  <c r="F7" i="1"/>
  <c r="F19" i="1"/>
  <c r="F25" i="1"/>
  <c r="F11" i="1"/>
  <c r="F20" i="1"/>
  <c r="F8" i="1"/>
  <c r="F6" i="1"/>
  <c r="F41" i="1"/>
  <c r="F42" i="1" l="1"/>
</calcChain>
</file>

<file path=xl/sharedStrings.xml><?xml version="1.0" encoding="utf-8"?>
<sst xmlns="http://schemas.openxmlformats.org/spreadsheetml/2006/main" count="841" uniqueCount="225">
  <si>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</si>
  <si>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</si>
  <si>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</si>
  <si>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</si>
  <si>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</si>
  <si>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</si>
  <si>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</si>
  <si>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</si>
  <si>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</si>
  <si>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</si>
  <si>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</si>
  <si>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</si>
  <si>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</si>
  <si>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</si>
  <si>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</si>
  <si>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</si>
  <si>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</si>
  <si>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</si>
  <si>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</si>
  <si>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</si>
  <si>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</si>
  <si>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</si>
  <si>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</si>
  <si>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</si>
  <si>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</si>
  <si>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</si>
  <si>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</si>
  <si>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</si>
  <si>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</si>
  <si>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1.5. Mecânico Turno Dia</t>
  </si>
  <si>
    <t>1.6. Mecânico Turno Noite</t>
  </si>
  <si>
    <t>1.7. Auxiliar Mecânico Turno Dia</t>
  </si>
  <si>
    <t>1.8. Auxiliar Mecânico Turno Noite</t>
  </si>
  <si>
    <t>1.9. Auxiliar de Serviços Gerais Turno Dia</t>
  </si>
  <si>
    <t>1.10 Fiscal Diurno</t>
  </si>
  <si>
    <t>1.11 Fiscal Noturno</t>
  </si>
  <si>
    <t>1.12 Técnico Administrativo</t>
  </si>
  <si>
    <t>1.13 Encarregado de Coleta</t>
  </si>
  <si>
    <t>1.14 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</si>
  <si>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</si>
  <si>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</si>
  <si>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</si>
  <si>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</si>
  <si>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</si>
  <si>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</si>
  <si>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</si>
  <si>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</si>
  <si>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</si>
  <si>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</si>
  <si>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</si>
  <si>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</si>
  <si>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</si>
  <si>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</si>
  <si>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</si>
  <si>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</si>
  <si>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</si>
  <si>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</si>
  <si>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</si>
  <si>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</si>
  <si>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</si>
  <si>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</si>
  <si>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</si>
  <si>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</si>
  <si>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</si>
  <si>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</si>
  <si>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</si>
  <si>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</si>
  <si>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</si>
  <si>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</si>
  <si>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</si>
  <si>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</si>
  <si>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</si>
  <si>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</si>
  <si>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</si>
  <si>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</si>
  <si>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</si>
  <si>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</si>
  <si>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</si>
  <si>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</si>
  <si>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</si>
  <si>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</si>
  <si>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</si>
  <si>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</si>
  <si>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</si>
  <si>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</si>
  <si>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</si>
  <si>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</si>
  <si>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</si>
  <si>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</si>
  <si>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</si>
  <si>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</si>
  <si>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</si>
  <si>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</si>
  <si>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</si>
  <si>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</si>
  <si>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</si>
  <si>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</si>
  <si>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</si>
  <si>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</si>
  <si>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</si>
  <si>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</si>
  <si>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</si>
  <si>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</si>
  <si>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</si>
  <si>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</si>
  <si>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</si>
  <si>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</si>
  <si>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Técnico Administrativo</t>
  </si>
  <si>
    <t>Encarregado de Coleta</t>
  </si>
  <si>
    <t>Técnico de Segurança do Trabalho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</si>
  <si>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</si>
  <si>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</si>
  <si>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</si>
  <si>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</si>
  <si>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</si>
  <si>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</si>
  <si>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</si>
  <si>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</si>
  <si>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</si>
  <si>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</si>
  <si>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</si>
  <si>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</si>
  <si>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</si>
  <si>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</si>
  <si>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</si>
  <si>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</si>
  <si>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</si>
  <si>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</si>
  <si>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</si>
  <si>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</si>
  <si>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</si>
  <si>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</si>
  <si>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</si>
  <si>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</si>
  <si>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</si>
  <si>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</si>
  <si>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</si>
  <si>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</si>
  <si>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</si>
  <si>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</si>
  <si>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</si>
  <si>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</si>
  <si>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</si>
  <si>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</si>
  <si>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</si>
  <si>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</si>
  <si>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</si>
  <si>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</si>
  <si>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</si>
  <si>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</si>
  <si>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</si>
  <si>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</si>
  <si>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</si>
  <si>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</si>
  <si>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</si>
  <si>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</si>
  <si>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</si>
  <si>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</si>
  <si>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</si>
  <si>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</si>
  <si>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</si>
  <si>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</si>
  <si>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</si>
  <si>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</si>
  <si>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</si>
  <si>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</si>
  <si>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</si>
  <si>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</si>
  <si>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</si>
  <si>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</si>
  <si>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</si>
  <si>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</si>
  <si>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</si>
  <si>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</si>
  <si>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</si>
  <si>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</si>
  <si>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</si>
  <si>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</si>
  <si>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</si>
  <si>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</si>
  <si>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</si>
  <si>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</si>
  <si>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</si>
  <si>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</si>
  <si>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</si>
  <si>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xxx/xx Rxx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</si>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</sst>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_(* #,##0_);_(* \(#,##0\);_(* &quot;-&quot;??_);_(@_)"/>
    <numFmt numFmtId="168" formatCode="_(* #,##0.000_);_(* \(#,##0.000\);_(* &quot;-&quot;??_);_(@_)"/>
    <numFmt numFmtId="169" formatCode="#,##0.000_ ;\-#,##0.0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43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4" fontId="0" fillId="0" borderId="0" xfId="0" applyNumberFormat="1" applyAlignment="1">
      <alignment vertical="center"/>
    </xf>
    <xf numFmtId="43" fontId="0" fillId="0" borderId="0" xfId="1" applyFont="1" applyFill="1" applyBorder="1" applyAlignment="1">
      <alignment vertical="center"/>
    </xf>
    <xf numFmtId="43" fontId="0" fillId="0" borderId="8" xfId="1" applyFont="1" applyFill="1" applyBorder="1" applyAlignment="1">
      <alignment vertical="center"/>
    </xf>
    <xf numFmtId="43" fontId="0" fillId="0" borderId="0" xfId="1" applyFont="1" applyAlignment="1">
      <alignment vertical="center"/>
    </xf>
    <xf numFmtId="0" fontId="0" fillId="0" borderId="0" xfId="0" applyAlignment="1">
      <alignment vertical="center"/>
    </xf>
    <xf numFmtId="43" fontId="7" fillId="0" borderId="12" xfId="1" applyFont="1" applyFill="1" applyBorder="1" applyAlignment="1">
      <alignment horizontal="center" vertical="center"/>
    </xf>
    <xf numFmtId="43" fontId="0" fillId="0" borderId="13" xfId="1" applyFont="1" applyFill="1" applyBorder="1" applyAlignment="1">
      <alignment vertical="center"/>
    </xf>
    <xf numFmtId="43" fontId="7" fillId="0" borderId="13" xfId="1" applyFont="1" applyFill="1" applyBorder="1" applyAlignment="1">
      <alignment vertical="center"/>
    </xf>
    <xf numFmtId="43" fontId="7" fillId="0" borderId="14" xfId="1" applyFont="1" applyFill="1" applyBorder="1" applyAlignment="1">
      <alignment vertical="center"/>
    </xf>
    <xf numFmtId="43" fontId="7" fillId="0" borderId="15" xfId="1" applyFont="1" applyFill="1" applyBorder="1" applyAlignment="1">
      <alignment horizontal="center" vertical="center"/>
    </xf>
    <xf numFmtId="43" fontId="7" fillId="0" borderId="16" xfId="1" applyFont="1" applyFill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43" fontId="7" fillId="0" borderId="17" xfId="1" applyFont="1" applyFill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10" fontId="7" fillId="0" borderId="19" xfId="2" applyNumberFormat="1" applyFont="1" applyFill="1" applyBorder="1" applyAlignment="1">
      <alignment vertical="center"/>
    </xf>
    <xf numFmtId="43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43" fontId="0" fillId="0" borderId="16" xfId="1" applyFont="1" applyFill="1" applyBorder="1" applyAlignment="1">
      <alignment vertical="center"/>
    </xf>
    <xf numFmtId="164" fontId="0" fillId="0" borderId="17" xfId="0" applyNumberFormat="1" applyBorder="1" applyAlignment="1">
      <alignment vertical="center"/>
    </xf>
    <xf numFmtId="43" fontId="0" fillId="0" borderId="17" xfId="1" applyFont="1" applyFill="1" applyBorder="1" applyAlignment="1">
      <alignment vertical="center"/>
    </xf>
    <xf numFmtId="165" fontId="0" fillId="0" borderId="18" xfId="0" applyNumberFormat="1" applyBorder="1" applyAlignment="1">
      <alignment vertical="center"/>
    </xf>
    <xf numFmtId="10" fontId="0" fillId="0" borderId="19" xfId="2" applyNumberFormat="1" applyFont="1" applyFill="1" applyBorder="1" applyAlignment="1">
      <alignment vertical="center"/>
    </xf>
    <xf numFmtId="43" fontId="3" fillId="0" borderId="16" xfId="1" applyFont="1" applyFill="1" applyBorder="1" applyAlignment="1">
      <alignment vertical="center"/>
    </xf>
    <xf numFmtId="43" fontId="7" fillId="0" borderId="16" xfId="1" applyFont="1" applyFill="1" applyBorder="1" applyAlignment="1">
      <alignment horizontal="left" vertical="center"/>
    </xf>
    <xf numFmtId="4" fontId="7" fillId="0" borderId="17" xfId="0" applyNumberFormat="1" applyFont="1" applyBorder="1" applyAlignment="1">
      <alignment horizontal="centerContinuous" vertical="center"/>
    </xf>
    <xf numFmtId="43" fontId="3" fillId="0" borderId="16" xfId="1" applyFont="1" applyFill="1" applyBorder="1" applyAlignment="1">
      <alignment horizontal="left" vertical="center"/>
    </xf>
    <xf numFmtId="4" fontId="0" fillId="0" borderId="17" xfId="0" applyNumberFormat="1" applyBorder="1" applyAlignment="1">
      <alignment horizontal="centerContinuous" vertical="center"/>
    </xf>
    <xf numFmtId="10" fontId="3" fillId="0" borderId="19" xfId="2" applyNumberFormat="1" applyFont="1" applyFill="1" applyBorder="1" applyAlignment="1">
      <alignment vertical="center"/>
    </xf>
    <xf numFmtId="165" fontId="7" fillId="0" borderId="20" xfId="0" applyNumberFormat="1" applyFont="1" applyBorder="1" applyAlignment="1">
      <alignment vertical="center"/>
    </xf>
    <xf numFmtId="43" fontId="7" fillId="0" borderId="9" xfId="1" applyFont="1" applyFill="1" applyBorder="1" applyAlignment="1">
      <alignment horizontal="left" vertical="center"/>
    </xf>
    <xf numFmtId="4" fontId="7" fillId="0" borderId="10" xfId="0" applyNumberFormat="1" applyFont="1" applyBorder="1" applyAlignment="1">
      <alignment horizontal="centerContinuous" vertical="center"/>
    </xf>
    <xf numFmtId="43" fontId="7" fillId="0" borderId="10" xfId="1" applyFont="1" applyFill="1" applyBorder="1" applyAlignment="1">
      <alignment vertical="center"/>
    </xf>
    <xf numFmtId="166" fontId="7" fillId="3" borderId="21" xfId="0" applyNumberFormat="1" applyFont="1" applyFill="1" applyBorder="1" applyAlignment="1">
      <alignment vertical="center"/>
    </xf>
    <xf numFmtId="9" fontId="7" fillId="3" borderId="22" xfId="2" applyFont="1" applyFill="1" applyBorder="1" applyAlignment="1">
      <alignment vertical="center"/>
    </xf>
    <xf numFmtId="0" fontId="3" fillId="0" borderId="0" xfId="0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24" xfId="1" applyFont="1" applyBorder="1" applyAlignment="1">
      <alignment horizontal="right" vertical="center"/>
    </xf>
    <xf numFmtId="43" fontId="3" fillId="0" borderId="18" xfId="1" applyFont="1" applyFill="1" applyBorder="1" applyAlignment="1">
      <alignment vertical="center"/>
    </xf>
    <xf numFmtId="43" fontId="3" fillId="0" borderId="25" xfId="1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1" fontId="3" fillId="0" borderId="15" xfId="1" applyNumberFormat="1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43" fontId="7" fillId="0" borderId="27" xfId="1" applyFont="1" applyFill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1" fontId="7" fillId="3" borderId="29" xfId="1" applyNumberFormat="1" applyFont="1" applyFill="1" applyBorder="1" applyAlignment="1">
      <alignment horizontal="center" vertical="center"/>
    </xf>
    <xf numFmtId="43" fontId="7" fillId="0" borderId="7" xfId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3" fontId="3" fillId="0" borderId="0" xfId="1" applyFont="1" applyBorder="1" applyAlignment="1">
      <alignment vertical="center"/>
    </xf>
    <xf numFmtId="43" fontId="3" fillId="0" borderId="8" xfId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1" fontId="3" fillId="0" borderId="18" xfId="1" applyNumberFormat="1" applyFont="1" applyFill="1" applyBorder="1" applyAlignment="1">
      <alignment horizontal="center" vertical="center"/>
    </xf>
    <xf numFmtId="167" fontId="3" fillId="0" borderId="0" xfId="1" applyNumberFormat="1" applyFont="1" applyBorder="1" applyAlignment="1">
      <alignment horizontal="center" vertical="center"/>
    </xf>
    <xf numFmtId="43" fontId="7" fillId="0" borderId="9" xfId="1" applyFont="1" applyBorder="1" applyAlignment="1">
      <alignment vertical="center"/>
    </xf>
    <xf numFmtId="9" fontId="7" fillId="0" borderId="11" xfId="2" applyFont="1" applyFill="1" applyBorder="1" applyAlignment="1">
      <alignment vertical="center"/>
    </xf>
    <xf numFmtId="43" fontId="7" fillId="0" borderId="0" xfId="1" applyFont="1" applyBorder="1" applyAlignment="1">
      <alignment vertical="center"/>
    </xf>
    <xf numFmtId="167" fontId="7" fillId="0" borderId="0" xfId="1" applyNumberFormat="1" applyFont="1" applyBorder="1" applyAlignment="1">
      <alignment horizontal="center" vertical="center"/>
    </xf>
    <xf numFmtId="0" fontId="6" fillId="2" borderId="32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43" fontId="8" fillId="5" borderId="34" xfId="1" applyFont="1" applyFill="1" applyBorder="1" applyAlignment="1">
      <alignment horizontal="center" vertical="center"/>
    </xf>
    <xf numFmtId="43" fontId="8" fillId="5" borderId="22" xfId="1" applyFont="1" applyFill="1" applyBorder="1" applyAlignment="1">
      <alignment horizontal="center" vertical="center"/>
    </xf>
    <xf numFmtId="0" fontId="3" fillId="6" borderId="35" xfId="0" applyFont="1" applyFill="1" applyBorder="1" applyAlignment="1">
      <alignment vertical="center"/>
    </xf>
    <xf numFmtId="0" fontId="3" fillId="6" borderId="35" xfId="0" applyFont="1" applyFill="1" applyBorder="1" applyAlignment="1">
      <alignment horizontal="center" vertical="center"/>
    </xf>
    <xf numFmtId="43" fontId="3" fillId="6" borderId="35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43" fontId="3" fillId="6" borderId="18" xfId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7" fillId="6" borderId="36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43" fontId="7" fillId="6" borderId="0" xfId="1" applyFont="1" applyFill="1" applyAlignment="1">
      <alignment horizontal="center" vertical="center"/>
    </xf>
    <xf numFmtId="43" fontId="7" fillId="6" borderId="36" xfId="1" applyFont="1" applyFill="1" applyBorder="1" applyAlignment="1">
      <alignment horizontal="center" vertical="center"/>
    </xf>
    <xf numFmtId="0" fontId="3" fillId="6" borderId="1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3" fillId="0" borderId="0" xfId="1" applyFont="1" applyFill="1" applyAlignment="1">
      <alignment horizontal="right" vertical="center"/>
    </xf>
    <xf numFmtId="43" fontId="3" fillId="6" borderId="37" xfId="1" applyFont="1" applyFill="1" applyBorder="1" applyAlignment="1">
      <alignment vertical="center"/>
    </xf>
    <xf numFmtId="43" fontId="7" fillId="3" borderId="32" xfId="1" applyFont="1" applyFill="1" applyBorder="1" applyAlignment="1">
      <alignment horizontal="center" vertical="center"/>
    </xf>
    <xf numFmtId="43" fontId="3" fillId="0" borderId="0" xfId="1" applyFont="1" applyFill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3" fontId="3" fillId="0" borderId="18" xfId="1" applyFont="1" applyFill="1" applyBorder="1" applyAlignment="1">
      <alignment horizontal="center" vertical="center"/>
    </xf>
    <xf numFmtId="2" fontId="3" fillId="0" borderId="18" xfId="1" applyNumberFormat="1" applyFont="1" applyFill="1" applyBorder="1" applyAlignment="1">
      <alignment horizontal="center" vertical="center"/>
    </xf>
    <xf numFmtId="0" fontId="7" fillId="0" borderId="36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43" fontId="7" fillId="0" borderId="0" xfId="1" applyFont="1" applyFill="1" applyAlignment="1">
      <alignment horizontal="center" vertical="center"/>
    </xf>
    <xf numFmtId="43" fontId="7" fillId="0" borderId="36" xfId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43" fontId="3" fillId="0" borderId="37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8" xfId="0" applyFont="1" applyBorder="1" applyAlignment="1">
      <alignment vertical="center"/>
    </xf>
    <xf numFmtId="43" fontId="7" fillId="0" borderId="18" xfId="1" applyFont="1" applyFill="1" applyBorder="1" applyAlignment="1">
      <alignment horizontal="center" vertical="center"/>
    </xf>
    <xf numFmtId="43" fontId="7" fillId="0" borderId="0" xfId="1" applyFont="1" applyFill="1" applyAlignment="1">
      <alignment vertical="center"/>
    </xf>
    <xf numFmtId="0" fontId="7" fillId="0" borderId="17" xfId="0" applyFont="1" applyBorder="1" applyAlignment="1">
      <alignment horizontal="center" vertical="center"/>
    </xf>
    <xf numFmtId="43" fontId="7" fillId="0" borderId="17" xfId="1" applyFont="1" applyFill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36" xfId="0" applyFont="1" applyBorder="1" applyAlignment="1">
      <alignment horizontal="center" vertical="center"/>
    </xf>
    <xf numFmtId="43" fontId="3" fillId="0" borderId="36" xfId="1" applyFont="1" applyFill="1" applyBorder="1" applyAlignment="1">
      <alignment horizontal="center" vertical="center"/>
    </xf>
    <xf numFmtId="43" fontId="3" fillId="0" borderId="18" xfId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horizontal="right" vertical="center"/>
    </xf>
    <xf numFmtId="43" fontId="7" fillId="0" borderId="0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43" fontId="8" fillId="0" borderId="21" xfId="1" applyFont="1" applyFill="1" applyBorder="1" applyAlignment="1">
      <alignment horizontal="center" vertical="center"/>
    </xf>
    <xf numFmtId="43" fontId="8" fillId="0" borderId="32" xfId="1" applyFont="1" applyFill="1" applyBorder="1" applyAlignment="1">
      <alignment horizontal="center" vertical="center"/>
    </xf>
    <xf numFmtId="43" fontId="3" fillId="0" borderId="37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3" fontId="8" fillId="0" borderId="31" xfId="1" applyFont="1" applyFill="1" applyBorder="1" applyAlignment="1">
      <alignment horizontal="center" vertical="center"/>
    </xf>
    <xf numFmtId="43" fontId="8" fillId="0" borderId="22" xfId="1" applyFont="1" applyFill="1" applyBorder="1" applyAlignment="1">
      <alignment horizontal="center" vertical="center"/>
    </xf>
    <xf numFmtId="43" fontId="7" fillId="0" borderId="18" xfId="1" applyFont="1" applyFill="1" applyBorder="1" applyAlignment="1">
      <alignment vertical="center"/>
    </xf>
    <xf numFmtId="43" fontId="7" fillId="3" borderId="32" xfId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43" fontId="8" fillId="5" borderId="31" xfId="1" applyFont="1" applyFill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43" fontId="7" fillId="3" borderId="18" xfId="1" applyFont="1" applyFill="1" applyBorder="1" applyAlignment="1">
      <alignment vertical="center"/>
    </xf>
    <xf numFmtId="43" fontId="7" fillId="3" borderId="11" xfId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43" fontId="8" fillId="0" borderId="34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18" xfId="1" applyNumberFormat="1" applyFont="1" applyFill="1" applyBorder="1" applyAlignment="1">
      <alignment horizontal="right" vertical="center"/>
    </xf>
    <xf numFmtId="43" fontId="8" fillId="0" borderId="0" xfId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43" fontId="7" fillId="0" borderId="10" xfId="1" applyFont="1" applyBorder="1" applyAlignment="1">
      <alignment vertical="center"/>
    </xf>
    <xf numFmtId="43" fontId="7" fillId="0" borderId="11" xfId="1" applyFont="1" applyBorder="1" applyAlignment="1">
      <alignment vertical="center"/>
    </xf>
    <xf numFmtId="43" fontId="7" fillId="7" borderId="32" xfId="1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32" xfId="0" applyFont="1" applyFill="1" applyBorder="1" applyAlignment="1">
      <alignment vertical="center"/>
    </xf>
    <xf numFmtId="0" fontId="8" fillId="5" borderId="34" xfId="0" applyFont="1" applyFill="1" applyBorder="1" applyAlignment="1">
      <alignment horizontal="center" vertical="center" wrapText="1"/>
    </xf>
    <xf numFmtId="43" fontId="3" fillId="0" borderId="0" xfId="1" applyFont="1"/>
    <xf numFmtId="0" fontId="3" fillId="0" borderId="0" xfId="0" applyFont="1"/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43" fontId="3" fillId="0" borderId="0" xfId="1" applyFont="1" applyFill="1"/>
    <xf numFmtId="1" fontId="3" fillId="0" borderId="18" xfId="0" applyNumberFormat="1" applyFont="1" applyBorder="1" applyAlignment="1">
      <alignment horizontal="center" vertical="center"/>
    </xf>
    <xf numFmtId="43" fontId="3" fillId="0" borderId="0" xfId="1" applyFont="1" applyAlignment="1">
      <alignment horizontal="right" vertical="center"/>
    </xf>
    <xf numFmtId="43" fontId="7" fillId="0" borderId="11" xfId="1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43" fontId="3" fillId="0" borderId="10" xfId="1" applyFont="1" applyBorder="1" applyAlignment="1">
      <alignment vertical="center"/>
    </xf>
    <xf numFmtId="43" fontId="3" fillId="0" borderId="11" xfId="1" applyFont="1" applyBorder="1" applyAlignment="1">
      <alignment vertical="center"/>
    </xf>
    <xf numFmtId="43" fontId="7" fillId="8" borderId="32" xfId="1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vertical="center"/>
    </xf>
    <xf numFmtId="0" fontId="10" fillId="0" borderId="0" xfId="3" applyAlignment="1" applyProtection="1">
      <alignment vertical="center"/>
    </xf>
    <xf numFmtId="0" fontId="10" fillId="4" borderId="0" xfId="3" applyFill="1" applyAlignment="1" applyProtection="1">
      <alignment vertical="center"/>
    </xf>
    <xf numFmtId="43" fontId="3" fillId="0" borderId="0" xfId="1" applyFont="1" applyFill="1" applyAlignment="1">
      <alignment horizontal="center" vertical="center"/>
    </xf>
    <xf numFmtId="43" fontId="3" fillId="0" borderId="0" xfId="0" applyNumberFormat="1" applyFont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38" xfId="0" applyFont="1" applyBorder="1" applyAlignment="1">
      <alignment horizontal="center" vertical="center"/>
    </xf>
    <xf numFmtId="43" fontId="7" fillId="0" borderId="38" xfId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5" borderId="22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43" fontId="8" fillId="5" borderId="10" xfId="1" applyFont="1" applyFill="1" applyBorder="1" applyAlignment="1">
      <alignment horizontal="center" vertical="center"/>
    </xf>
    <xf numFmtId="43" fontId="8" fillId="5" borderId="32" xfId="1" applyFont="1" applyFill="1" applyBorder="1" applyAlignment="1">
      <alignment horizontal="center" vertical="center"/>
    </xf>
    <xf numFmtId="43" fontId="8" fillId="5" borderId="11" xfId="1" applyFont="1" applyFill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7" fillId="2" borderId="37" xfId="0" applyFont="1" applyFill="1" applyBorder="1" applyAlignment="1">
      <alignment vertical="center"/>
    </xf>
    <xf numFmtId="168" fontId="3" fillId="0" borderId="35" xfId="1" applyNumberFormat="1" applyFont="1" applyFill="1" applyBorder="1" applyAlignment="1">
      <alignment horizontal="center" vertical="center"/>
    </xf>
    <xf numFmtId="3" fontId="3" fillId="0" borderId="18" xfId="1" applyNumberFormat="1" applyFont="1" applyFill="1" applyBorder="1" applyAlignment="1">
      <alignment horizontal="center" vertical="center"/>
    </xf>
    <xf numFmtId="168" fontId="3" fillId="0" borderId="18" xfId="1" applyNumberFormat="1" applyFont="1" applyFill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167" fontId="7" fillId="0" borderId="18" xfId="1" applyNumberFormat="1" applyFont="1" applyFill="1" applyBorder="1" applyAlignment="1">
      <alignment horizontal="center" vertical="center"/>
    </xf>
    <xf numFmtId="168" fontId="7" fillId="0" borderId="18" xfId="1" applyNumberFormat="1" applyFont="1" applyFill="1" applyBorder="1" applyAlignment="1">
      <alignment horizontal="center" vertical="center"/>
    </xf>
    <xf numFmtId="0" fontId="3" fillId="0" borderId="35" xfId="1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43" fontId="8" fillId="5" borderId="18" xfId="1" applyFont="1" applyFill="1" applyBorder="1" applyAlignment="1">
      <alignment horizontal="center" vertical="center"/>
    </xf>
    <xf numFmtId="43" fontId="3" fillId="0" borderId="35" xfId="1" applyFont="1" applyFill="1" applyBorder="1" applyAlignment="1">
      <alignment vertical="center"/>
    </xf>
    <xf numFmtId="43" fontId="7" fillId="0" borderId="36" xfId="1" applyFont="1" applyFill="1" applyBorder="1" applyAlignment="1">
      <alignment vertical="center"/>
    </xf>
    <xf numFmtId="43" fontId="7" fillId="0" borderId="37" xfId="1" applyFont="1" applyFill="1" applyBorder="1" applyAlignment="1">
      <alignment vertical="center"/>
    </xf>
    <xf numFmtId="0" fontId="3" fillId="4" borderId="32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horizontal="center" vertical="center"/>
    </xf>
    <xf numFmtId="43" fontId="8" fillId="5" borderId="24" xfId="1" applyFont="1" applyFill="1" applyBorder="1" applyAlignment="1">
      <alignment horizontal="center" vertical="center"/>
    </xf>
    <xf numFmtId="3" fontId="3" fillId="0" borderId="18" xfId="0" applyNumberFormat="1" applyFont="1" applyBorder="1" applyAlignment="1">
      <alignment vertical="center"/>
    </xf>
    <xf numFmtId="43" fontId="3" fillId="0" borderId="36" xfId="1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13" fontId="3" fillId="0" borderId="18" xfId="0" applyNumberFormat="1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164" fontId="7" fillId="3" borderId="32" xfId="1" applyNumberFormat="1" applyFont="1" applyFill="1" applyBorder="1" applyAlignment="1">
      <alignment horizontal="center" vertical="center"/>
    </xf>
    <xf numFmtId="43" fontId="12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32" xfId="0" applyFont="1" applyBorder="1" applyAlignment="1">
      <alignment vertical="center"/>
    </xf>
    <xf numFmtId="43" fontId="7" fillId="8" borderId="32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3" fontId="6" fillId="0" borderId="0" xfId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4" fontId="7" fillId="8" borderId="32" xfId="1" applyNumberFormat="1" applyFont="1" applyFill="1" applyBorder="1" applyAlignment="1">
      <alignment vertical="center"/>
    </xf>
    <xf numFmtId="43" fontId="7" fillId="0" borderId="11" xfId="1" applyFont="1" applyBorder="1" applyAlignment="1">
      <alignment horizontal="right" vertical="center"/>
    </xf>
    <xf numFmtId="43" fontId="7" fillId="8" borderId="32" xfId="1" applyFont="1" applyFill="1" applyBorder="1" applyAlignment="1">
      <alignment horizontal="right" vertical="center"/>
    </xf>
    <xf numFmtId="43" fontId="6" fillId="0" borderId="0" xfId="1" applyFont="1" applyAlignment="1">
      <alignment vertical="center"/>
    </xf>
    <xf numFmtId="1" fontId="3" fillId="9" borderId="26" xfId="1" applyNumberFormat="1" applyFont="1" applyFill="1" applyBorder="1" applyAlignment="1">
      <alignment horizontal="center" vertical="center"/>
    </xf>
    <xf numFmtId="4" fontId="0" fillId="9" borderId="0" xfId="0" applyNumberFormat="1" applyFill="1"/>
    <xf numFmtId="43" fontId="3" fillId="9" borderId="35" xfId="1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9" borderId="36" xfId="0" applyFont="1" applyFill="1" applyBorder="1" applyAlignment="1">
      <alignment horizontal="center" vertical="center"/>
    </xf>
    <xf numFmtId="43" fontId="3" fillId="9" borderId="18" xfId="1" applyFont="1" applyFill="1" applyBorder="1" applyAlignment="1">
      <alignment vertical="center"/>
    </xf>
    <xf numFmtId="43" fontId="3" fillId="9" borderId="0" xfId="1" applyFont="1" applyFill="1" applyAlignment="1">
      <alignment horizontal="center" vertical="center"/>
    </xf>
    <xf numFmtId="164" fontId="3" fillId="9" borderId="18" xfId="1" applyNumberFormat="1" applyFont="1" applyFill="1" applyBorder="1" applyAlignment="1">
      <alignment horizontal="center" vertical="center"/>
    </xf>
    <xf numFmtId="3" fontId="7" fillId="9" borderId="32" xfId="0" applyNumberFormat="1" applyFont="1" applyFill="1" applyBorder="1" applyAlignment="1">
      <alignment horizontal="center" vertical="center"/>
    </xf>
    <xf numFmtId="3" fontId="3" fillId="9" borderId="18" xfId="1" applyNumberFormat="1" applyFont="1" applyFill="1" applyBorder="1" applyAlignment="1">
      <alignment horizontal="center" vertical="center"/>
    </xf>
    <xf numFmtId="167" fontId="3" fillId="9" borderId="18" xfId="1" applyNumberFormat="1" applyFont="1" applyFill="1" applyBorder="1" applyAlignment="1">
      <alignment horizontal="center" vertical="center"/>
    </xf>
    <xf numFmtId="0" fontId="3" fillId="9" borderId="18" xfId="1" applyNumberFormat="1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43" fontId="7" fillId="6" borderId="18" xfId="1" applyFont="1" applyFill="1" applyBorder="1" applyAlignment="1">
      <alignment horizontal="center" vertical="center"/>
    </xf>
    <xf numFmtId="0" fontId="3" fillId="6" borderId="0" xfId="0" applyFont="1" applyFill="1" applyAlignment="1">
      <alignment vertical="center"/>
    </xf>
    <xf numFmtId="169" fontId="3" fillId="0" borderId="18" xfId="1" applyNumberFormat="1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3" fontId="6" fillId="2" borderId="9" xfId="1" applyFont="1" applyFill="1" applyBorder="1" applyAlignment="1">
      <alignment horizontal="center" vertical="center"/>
    </xf>
    <xf numFmtId="43" fontId="6" fillId="2" borderId="10" xfId="1" applyFont="1" applyFill="1" applyBorder="1" applyAlignment="1">
      <alignment horizontal="center" vertical="center"/>
    </xf>
    <xf numFmtId="43" fontId="6" fillId="2" borderId="11" xfId="1" applyFont="1" applyFill="1" applyBorder="1" applyAlignment="1">
      <alignment horizontal="center" vertical="center"/>
    </xf>
    <xf numFmtId="43" fontId="7" fillId="0" borderId="16" xfId="1" applyFont="1" applyFill="1" applyBorder="1" applyAlignment="1">
      <alignment horizontal="left" vertical="center"/>
    </xf>
    <xf numFmtId="43" fontId="7" fillId="0" borderId="17" xfId="1" applyFont="1" applyFill="1" applyBorder="1" applyAlignment="1">
      <alignment horizontal="left" vertic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3" xfId="1" applyFont="1" applyBorder="1" applyAlignment="1">
      <alignment horizontal="center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DA51D-9FB4-4588-A902-BBB2D2FBAA55}">
  <dimension ref="A1:J574"/>
  <sheetViews>
    <sheetView tabSelected="1" workbookViewId="0">
      <selection activeCell="A110" sqref="A110"/>
    </sheetView>
  </sheetViews>
  <sheetFormatPr defaultColWidth="9.28515625" defaultRowHeight="12.75" x14ac:dyDescent="0.25"/>
  <cols>
    <col min="1" max="1" width="44.5703125" style="38" customWidth="1"/>
    <col min="2" max="2" width="16.5703125" style="38" customWidth="1"/>
    <col min="3" max="3" width="11.7109375" style="38" customWidth="1"/>
    <col min="4" max="4" width="16.28515625" style="39" customWidth="1"/>
    <col min="5" max="5" width="15.42578125" style="39" customWidth="1"/>
    <col min="6" max="6" width="13.28515625" style="39" customWidth="1"/>
    <col min="7" max="7" width="28.28515625" style="39" customWidth="1"/>
    <col min="8" max="8" width="9.28515625" style="38"/>
    <col min="9" max="9" width="14.5703125" style="38" customWidth="1"/>
    <col min="10" max="10" width="13.42578125" style="38" customWidth="1"/>
    <col min="11" max="16384" width="9.28515625" style="38"/>
  </cols>
  <sheetData>
    <row r="1" spans="1:7" s="2" customFormat="1" ht="18" x14ac:dyDescent="0.25">
      <c r="A1" s="226" t="s">
        <v>0</v>
      </c>
      <c r="B1" s="227"/>
      <c r="C1" s="227"/>
      <c r="D1" s="227"/>
      <c r="E1" s="227"/>
      <c r="F1" s="228"/>
      <c r="G1" s="1"/>
    </row>
    <row r="2" spans="1:7" s="2" customFormat="1" ht="37.5" customHeight="1" x14ac:dyDescent="0.25">
      <c r="A2" s="229" t="s">
        <v>1</v>
      </c>
      <c r="B2" s="230"/>
      <c r="C2" s="230"/>
      <c r="D2" s="230"/>
      <c r="E2" s="230"/>
      <c r="F2" s="231"/>
      <c r="G2" s="1"/>
    </row>
    <row r="3" spans="1:7" s="8" customFormat="1" ht="10.9" customHeight="1" thickBot="1" x14ac:dyDescent="0.3">
      <c r="A3" s="3"/>
      <c r="B3" s="4"/>
      <c r="C3" s="4"/>
      <c r="D3" s="5"/>
      <c r="E3" s="5"/>
      <c r="F3" s="6"/>
      <c r="G3" s="7"/>
    </row>
    <row r="4" spans="1:7" s="8" customFormat="1" ht="15.75" customHeight="1" thickBot="1" x14ac:dyDescent="0.3">
      <c r="A4" s="232" t="s">
        <v>2</v>
      </c>
      <c r="B4" s="233"/>
      <c r="C4" s="233"/>
      <c r="D4" s="233"/>
      <c r="E4" s="233"/>
      <c r="F4" s="234"/>
      <c r="G4" s="7"/>
    </row>
    <row r="5" spans="1:7" s="8" customFormat="1" ht="15.75" customHeight="1" x14ac:dyDescent="0.25">
      <c r="A5" s="9" t="s">
        <v>3</v>
      </c>
      <c r="B5" s="10"/>
      <c r="C5" s="10"/>
      <c r="D5" s="11"/>
      <c r="E5" s="12" t="s">
        <v>4</v>
      </c>
      <c r="F5" s="13" t="s">
        <v>5</v>
      </c>
      <c r="G5" s="7"/>
    </row>
    <row r="6" spans="1:7" s="20" customFormat="1" ht="15.75" customHeight="1" x14ac:dyDescent="0.25">
      <c r="A6" s="14" t="str">
        <f>A69</f>
        <v>1. Mão-de-obra</v>
      </c>
      <c r="B6" s="15"/>
      <c r="C6" s="16"/>
      <c r="D6" s="16"/>
      <c r="E6" s="17">
        <f>+F326</f>
        <v>388815.51288188784</v>
      </c>
      <c r="F6" s="18">
        <f t="shared" ref="F6:F20" si="0">IFERROR(E6/$E$42,0)</f>
        <v>0.4902366219340113</v>
      </c>
      <c r="G6" s="19"/>
    </row>
    <row r="7" spans="1:7" s="8" customFormat="1" ht="15.75" customHeight="1" x14ac:dyDescent="0.25">
      <c r="A7" s="21" t="str">
        <f>A71</f>
        <v>1.1. Coletor Turno Dia</v>
      </c>
      <c r="B7" s="22"/>
      <c r="C7" s="23"/>
      <c r="D7" s="23"/>
      <c r="E7" s="24">
        <f>+F82</f>
        <v>112608.89726997483</v>
      </c>
      <c r="F7" s="25">
        <f t="shared" si="0"/>
        <v>0.14198251759084629</v>
      </c>
      <c r="G7" s="7"/>
    </row>
    <row r="8" spans="1:7" s="8" customFormat="1" ht="15.75" customHeight="1" x14ac:dyDescent="0.25">
      <c r="A8" s="21" t="str">
        <f>A84</f>
        <v>1.2. Coletor Turno Noite</v>
      </c>
      <c r="B8" s="22"/>
      <c r="C8" s="23"/>
      <c r="D8" s="23"/>
      <c r="E8" s="24">
        <f>+F101</f>
        <v>82432.5286205429</v>
      </c>
      <c r="F8" s="25">
        <f t="shared" si="0"/>
        <v>0.10393475319152097</v>
      </c>
      <c r="G8" s="7"/>
    </row>
    <row r="9" spans="1:7" s="8" customFormat="1" ht="15.75" customHeight="1" x14ac:dyDescent="0.25">
      <c r="A9" s="21" t="str">
        <f>A103</f>
        <v>1.3. Motorista Turno do Dia</v>
      </c>
      <c r="B9" s="22"/>
      <c r="C9" s="23"/>
      <c r="D9" s="23"/>
      <c r="E9" s="24">
        <f>+F116</f>
        <v>51852.676390755478</v>
      </c>
      <c r="F9" s="25">
        <f t="shared" si="0"/>
        <v>6.5378257990862096E-2</v>
      </c>
      <c r="G9" s="7"/>
    </row>
    <row r="10" spans="1:7" s="8" customFormat="1" ht="15.75" customHeight="1" x14ac:dyDescent="0.25">
      <c r="A10" s="21" t="str">
        <f>A118</f>
        <v>1.4. Motorista Turno Noite</v>
      </c>
      <c r="B10" s="22"/>
      <c r="C10" s="23"/>
      <c r="D10" s="23"/>
      <c r="E10" s="24">
        <f>+F137</f>
        <v>43963.167838043431</v>
      </c>
      <c r="F10" s="25">
        <f t="shared" si="0"/>
        <v>5.5430799894518185E-2</v>
      </c>
      <c r="G10" s="7"/>
    </row>
    <row r="11" spans="1:7" s="8" customFormat="1" ht="15.75" customHeight="1" x14ac:dyDescent="0.25">
      <c r="A11" s="21" t="s">
        <v>6</v>
      </c>
      <c r="B11" s="22"/>
      <c r="C11" s="23"/>
      <c r="D11" s="23"/>
      <c r="E11" s="24">
        <f>+F150</f>
        <v>5968.0305257840773</v>
      </c>
      <c r="F11" s="25">
        <f t="shared" si="0"/>
        <v>7.5247695311174848E-3</v>
      </c>
      <c r="G11" s="7"/>
    </row>
    <row r="12" spans="1:7" s="8" customFormat="1" ht="15.75" customHeight="1" x14ac:dyDescent="0.25">
      <c r="A12" s="21" t="s">
        <v>7</v>
      </c>
      <c r="B12" s="22"/>
      <c r="C12" s="23"/>
      <c r="D12" s="23"/>
      <c r="E12" s="24">
        <f>+F164</f>
        <v>5290.2931579999995</v>
      </c>
      <c r="F12" s="25">
        <f t="shared" si="0"/>
        <v>6.670246841736404E-3</v>
      </c>
      <c r="G12" s="7"/>
    </row>
    <row r="13" spans="1:7" s="8" customFormat="1" ht="15.75" customHeight="1" x14ac:dyDescent="0.25">
      <c r="A13" s="21" t="s">
        <v>8</v>
      </c>
      <c r="B13" s="22"/>
      <c r="C13" s="23"/>
      <c r="D13" s="23"/>
      <c r="E13" s="24">
        <f>+F178</f>
        <v>4522.9593999124672</v>
      </c>
      <c r="F13" s="25">
        <f t="shared" si="0"/>
        <v>5.7027568702777958E-3</v>
      </c>
      <c r="G13" s="7"/>
    </row>
    <row r="14" spans="1:7" s="8" customFormat="1" ht="15.75" customHeight="1" x14ac:dyDescent="0.25">
      <c r="A14" s="21" t="s">
        <v>9</v>
      </c>
      <c r="B14" s="22"/>
      <c r="C14" s="23"/>
      <c r="D14" s="23"/>
      <c r="E14" s="24">
        <f>+F199</f>
        <v>4759.4222064777832</v>
      </c>
      <c r="F14" s="25">
        <f t="shared" si="0"/>
        <v>6.0009001378763561E-3</v>
      </c>
      <c r="G14" s="7"/>
    </row>
    <row r="15" spans="1:7" s="8" customFormat="1" ht="15.75" customHeight="1" x14ac:dyDescent="0.25">
      <c r="A15" s="26" t="s">
        <v>10</v>
      </c>
      <c r="B15" s="22"/>
      <c r="C15" s="23"/>
      <c r="D15" s="23"/>
      <c r="E15" s="24">
        <f>+F212</f>
        <v>4920.8661902386284</v>
      </c>
      <c r="F15" s="25">
        <f t="shared" si="0"/>
        <v>6.2044561962338544E-3</v>
      </c>
      <c r="G15" s="7"/>
    </row>
    <row r="16" spans="1:7" s="8" customFormat="1" ht="15.75" customHeight="1" x14ac:dyDescent="0.25">
      <c r="A16" s="26" t="s">
        <v>11</v>
      </c>
      <c r="B16" s="22"/>
      <c r="C16" s="23"/>
      <c r="D16" s="23"/>
      <c r="E16" s="24">
        <f>+F233</f>
        <v>5082.3156972452898</v>
      </c>
      <c r="F16" s="25">
        <f t="shared" si="0"/>
        <v>6.408019218555704E-3</v>
      </c>
      <c r="G16" s="7"/>
    </row>
    <row r="17" spans="1:7" s="8" customFormat="1" ht="15.75" customHeight="1" x14ac:dyDescent="0.25">
      <c r="A17" s="26" t="s">
        <v>12</v>
      </c>
      <c r="B17" s="22"/>
      <c r="C17" s="23"/>
      <c r="D17" s="23"/>
      <c r="E17" s="24">
        <f>+F246</f>
        <v>6123.557400769223</v>
      </c>
      <c r="F17" s="25">
        <f t="shared" si="0"/>
        <v>7.7208650244468165E-3</v>
      </c>
      <c r="G17" s="7"/>
    </row>
    <row r="18" spans="1:7" s="8" customFormat="1" ht="15.75" customHeight="1" x14ac:dyDescent="0.25">
      <c r="A18" s="26" t="s">
        <v>13</v>
      </c>
      <c r="B18" s="22"/>
      <c r="C18" s="23"/>
      <c r="D18" s="23"/>
      <c r="E18" s="24">
        <f>+F260</f>
        <v>4167.5724559900855</v>
      </c>
      <c r="F18" s="25">
        <f t="shared" si="0"/>
        <v>5.2546685376477012E-3</v>
      </c>
      <c r="G18" s="7"/>
    </row>
    <row r="19" spans="1:7" s="8" customFormat="1" ht="15.75" customHeight="1" x14ac:dyDescent="0.25">
      <c r="A19" s="26" t="s">
        <v>14</v>
      </c>
      <c r="B19" s="22"/>
      <c r="C19" s="23"/>
      <c r="D19" s="23"/>
      <c r="E19" s="24">
        <f>+F281</f>
        <v>4304.3070251537138</v>
      </c>
      <c r="F19" s="25">
        <f t="shared" si="0"/>
        <v>5.4270698206920383E-3</v>
      </c>
      <c r="G19" s="7"/>
    </row>
    <row r="20" spans="1:7" s="8" customFormat="1" ht="15.75" customHeight="1" x14ac:dyDescent="0.25">
      <c r="A20" s="26" t="s">
        <v>15</v>
      </c>
      <c r="B20" s="22"/>
      <c r="C20" s="23"/>
      <c r="D20" s="23"/>
      <c r="E20" s="24">
        <f>+F294</f>
        <v>4466.0495030000002</v>
      </c>
      <c r="F20" s="25">
        <f t="shared" si="0"/>
        <v>5.6310022342289621E-3</v>
      </c>
      <c r="G20" s="7"/>
    </row>
    <row r="21" spans="1:7" s="8" customFormat="1" ht="15.75" customHeight="1" x14ac:dyDescent="0.25">
      <c r="A21" s="26" t="s">
        <v>16</v>
      </c>
      <c r="B21" s="22"/>
      <c r="C21" s="23"/>
      <c r="D21" s="23"/>
      <c r="E21" s="24">
        <f>+F311</f>
        <v>10496.869200000001</v>
      </c>
      <c r="F21" s="25">
        <f>IFERROR(E12/$E$42,0)</f>
        <v>6.670246841736404E-3</v>
      </c>
      <c r="G21" s="7"/>
    </row>
    <row r="22" spans="1:7" s="8" customFormat="1" ht="15.75" customHeight="1" x14ac:dyDescent="0.25">
      <c r="A22" s="26" t="s">
        <v>17</v>
      </c>
      <c r="B22" s="22"/>
      <c r="C22" s="23"/>
      <c r="D22" s="23"/>
      <c r="E22" s="24">
        <f>+F324</f>
        <v>37856</v>
      </c>
      <c r="F22" s="25">
        <f t="shared" ref="F22:F41" si="1">IFERROR(E22/$E$42,0)</f>
        <v>4.7730599590483667E-2</v>
      </c>
      <c r="G22" s="7"/>
    </row>
    <row r="23" spans="1:7" s="20" customFormat="1" ht="15.75" customHeight="1" x14ac:dyDescent="0.25">
      <c r="A23" s="235" t="str">
        <f>A329</f>
        <v>2. Uniformes e Equipamentos de Proteção Individual</v>
      </c>
      <c r="B23" s="236"/>
      <c r="C23" s="236"/>
      <c r="D23" s="16"/>
      <c r="E23" s="17">
        <f>+F361</f>
        <v>15157.5</v>
      </c>
      <c r="F23" s="18">
        <f t="shared" si="1"/>
        <v>1.9111278616144235E-2</v>
      </c>
      <c r="G23" s="19"/>
    </row>
    <row r="24" spans="1:7" s="20" customFormat="1" ht="15.75" customHeight="1" x14ac:dyDescent="0.25">
      <c r="A24" s="27" t="str">
        <f>A364</f>
        <v>3. Veículos e Equipamentos</v>
      </c>
      <c r="B24" s="28"/>
      <c r="C24" s="16"/>
      <c r="D24" s="16"/>
      <c r="E24" s="17">
        <f>+F499</f>
        <v>213274.07059004286</v>
      </c>
      <c r="F24" s="18">
        <f t="shared" si="1"/>
        <v>0.26890583438202359</v>
      </c>
      <c r="G24" s="19"/>
    </row>
    <row r="25" spans="1:7" s="8" customFormat="1" ht="15.75" customHeight="1" x14ac:dyDescent="0.25">
      <c r="A25" s="29" t="str">
        <f>A366</f>
        <v>3.1. Veículo Coletor Compactador 15 m³</v>
      </c>
      <c r="B25" s="30"/>
      <c r="C25" s="23"/>
      <c r="D25" s="23"/>
      <c r="E25" s="24">
        <f>SUM(E26:E31)</f>
        <v>207164.95566337617</v>
      </c>
      <c r="F25" s="31">
        <f t="shared" si="1"/>
        <v>0.2612031790983968</v>
      </c>
      <c r="G25" s="7"/>
    </row>
    <row r="26" spans="1:7" s="8" customFormat="1" ht="15.75" customHeight="1" x14ac:dyDescent="0.25">
      <c r="A26" s="29" t="str">
        <f>A368</f>
        <v>3.1.1. Depreciação</v>
      </c>
      <c r="B26" s="30"/>
      <c r="C26" s="23"/>
      <c r="D26" s="23"/>
      <c r="E26" s="24">
        <f>+F382</f>
        <v>52264.959999999999</v>
      </c>
      <c r="F26" s="31">
        <f t="shared" si="1"/>
        <v>6.5898084276538593E-2</v>
      </c>
      <c r="G26" s="7"/>
    </row>
    <row r="27" spans="1:7" s="8" customFormat="1" ht="15.75" customHeight="1" x14ac:dyDescent="0.25">
      <c r="A27" s="29" t="str">
        <f>A384</f>
        <v>3.1.2. Remuneração do Capital</v>
      </c>
      <c r="B27" s="30"/>
      <c r="C27" s="23"/>
      <c r="D27" s="23"/>
      <c r="E27" s="24">
        <f>+F398</f>
        <v>18787.375786666671</v>
      </c>
      <c r="F27" s="31">
        <f t="shared" si="1"/>
        <v>2.3687994268526389E-2</v>
      </c>
      <c r="G27" s="7"/>
    </row>
    <row r="28" spans="1:7" s="8" customFormat="1" ht="15.75" customHeight="1" x14ac:dyDescent="0.25">
      <c r="A28" s="29" t="str">
        <f>A400</f>
        <v>3.1.3. Impostos e Seguros</v>
      </c>
      <c r="B28" s="30"/>
      <c r="C28" s="23"/>
      <c r="D28" s="23"/>
      <c r="E28" s="24">
        <f>+F406</f>
        <v>6584.8291666666664</v>
      </c>
      <c r="F28" s="31">
        <f t="shared" si="1"/>
        <v>8.302457848845755E-3</v>
      </c>
      <c r="G28" s="7"/>
    </row>
    <row r="29" spans="1:7" s="8" customFormat="1" ht="15.75" customHeight="1" x14ac:dyDescent="0.25">
      <c r="A29" s="29" t="str">
        <f>A408</f>
        <v>3.1.4. Consumos</v>
      </c>
      <c r="B29" s="30"/>
      <c r="C29" s="23"/>
      <c r="D29" s="23"/>
      <c r="E29" s="24">
        <f>+F423</f>
        <v>93120.052679939981</v>
      </c>
      <c r="F29" s="31">
        <f t="shared" si="1"/>
        <v>0.117410078938899</v>
      </c>
      <c r="G29" s="7"/>
    </row>
    <row r="30" spans="1:7" s="8" customFormat="1" ht="15.75" customHeight="1" x14ac:dyDescent="0.25">
      <c r="A30" s="29" t="str">
        <f>A425</f>
        <v>3.1.5. Manutenção</v>
      </c>
      <c r="B30" s="30"/>
      <c r="C30" s="23"/>
      <c r="D30" s="23"/>
      <c r="E30" s="24">
        <f>+F428</f>
        <v>27162.706399999999</v>
      </c>
      <c r="F30" s="31">
        <f t="shared" si="1"/>
        <v>3.4247999338870141E-2</v>
      </c>
      <c r="G30" s="7"/>
    </row>
    <row r="31" spans="1:7" s="8" customFormat="1" ht="15.75" customHeight="1" x14ac:dyDescent="0.25">
      <c r="A31" s="29" t="str">
        <f>A431</f>
        <v>3.1.6. Pneus</v>
      </c>
      <c r="B31" s="30"/>
      <c r="C31" s="23"/>
      <c r="D31" s="23"/>
      <c r="E31" s="24">
        <f>+F438</f>
        <v>9245.0316301028561</v>
      </c>
      <c r="F31" s="31">
        <f t="shared" si="1"/>
        <v>1.1656564426716925E-2</v>
      </c>
      <c r="G31" s="7"/>
    </row>
    <row r="32" spans="1:7" s="8" customFormat="1" ht="15.75" customHeight="1" x14ac:dyDescent="0.25">
      <c r="A32" s="29" t="s">
        <v>18</v>
      </c>
      <c r="B32" s="30"/>
      <c r="C32" s="23"/>
      <c r="D32" s="23"/>
      <c r="E32" s="24">
        <f>SUM(E33:E38)</f>
        <v>6109.1149266666662</v>
      </c>
      <c r="F32" s="31">
        <f t="shared" si="1"/>
        <v>7.7026552836267333E-3</v>
      </c>
      <c r="G32" s="7"/>
    </row>
    <row r="33" spans="1:7" s="8" customFormat="1" ht="15.75" customHeight="1" x14ac:dyDescent="0.25">
      <c r="A33" s="29" t="s">
        <v>19</v>
      </c>
      <c r="B33" s="30"/>
      <c r="C33" s="23"/>
      <c r="D33" s="23"/>
      <c r="E33" s="24">
        <f>+F451</f>
        <v>607.0104766666667</v>
      </c>
      <c r="F33" s="31">
        <f t="shared" si="1"/>
        <v>7.6534694656079077E-4</v>
      </c>
      <c r="G33" s="7"/>
    </row>
    <row r="34" spans="1:7" s="8" customFormat="1" ht="15.75" customHeight="1" x14ac:dyDescent="0.25">
      <c r="A34" s="29" t="s">
        <v>20</v>
      </c>
      <c r="B34" s="30"/>
      <c r="C34" s="23"/>
      <c r="D34" s="23"/>
      <c r="E34" s="24">
        <f>+F462</f>
        <v>479.61091666666675</v>
      </c>
      <c r="F34" s="31">
        <f t="shared" si="1"/>
        <v>6.0471567578828983E-4</v>
      </c>
      <c r="G34" s="7"/>
    </row>
    <row r="35" spans="1:7" s="8" customFormat="1" ht="15.75" customHeight="1" x14ac:dyDescent="0.25">
      <c r="A35" s="29" t="s">
        <v>21</v>
      </c>
      <c r="B35" s="30"/>
      <c r="C35" s="23"/>
      <c r="D35" s="23"/>
      <c r="E35" s="24">
        <f>+F470</f>
        <v>415.33166666666665</v>
      </c>
      <c r="F35" s="31">
        <f t="shared" si="1"/>
        <v>5.2366941776508071E-4</v>
      </c>
      <c r="G35" s="7"/>
    </row>
    <row r="36" spans="1:7" s="8" customFormat="1" ht="15.75" customHeight="1" x14ac:dyDescent="0.25">
      <c r="A36" s="29" t="s">
        <v>22</v>
      </c>
      <c r="B36" s="30"/>
      <c r="C36" s="23"/>
      <c r="D36" s="23"/>
      <c r="E36" s="24">
        <f>+F480</f>
        <v>2729.5666666666666</v>
      </c>
      <c r="F36" s="31">
        <f t="shared" si="1"/>
        <v>3.4415641806370949E-3</v>
      </c>
      <c r="G36" s="7"/>
    </row>
    <row r="37" spans="1:7" s="8" customFormat="1" ht="15.75" customHeight="1" x14ac:dyDescent="0.25">
      <c r="A37" s="29" t="s">
        <v>23</v>
      </c>
      <c r="B37" s="30"/>
      <c r="C37" s="23"/>
      <c r="D37" s="23"/>
      <c r="E37" s="24">
        <f>+F486</f>
        <v>1819.9999999999998</v>
      </c>
      <c r="F37" s="31">
        <f t="shared" si="1"/>
        <v>2.2947403649270989E-3</v>
      </c>
      <c r="G37" s="7"/>
    </row>
    <row r="38" spans="1:7" s="8" customFormat="1" ht="15.75" customHeight="1" x14ac:dyDescent="0.25">
      <c r="A38" s="29" t="s">
        <v>24</v>
      </c>
      <c r="B38" s="30"/>
      <c r="C38" s="23"/>
      <c r="D38" s="23"/>
      <c r="E38" s="24">
        <f>+F496</f>
        <v>57.595199999999998</v>
      </c>
      <c r="F38" s="31">
        <f t="shared" si="1"/>
        <v>7.2618697948378713E-5</v>
      </c>
      <c r="G38" s="7"/>
    </row>
    <row r="39" spans="1:7" s="20" customFormat="1" ht="15.75" customHeight="1" x14ac:dyDescent="0.25">
      <c r="A39" s="27" t="str">
        <f>A502</f>
        <v>4. Ferramentas e Materiais de Consumo</v>
      </c>
      <c r="B39" s="28"/>
      <c r="C39" s="16"/>
      <c r="D39" s="16"/>
      <c r="E39" s="17">
        <f>+F511</f>
        <v>598.27</v>
      </c>
      <c r="F39" s="18">
        <f t="shared" si="1"/>
        <v>7.5432654842029435E-4</v>
      </c>
      <c r="G39" s="19"/>
    </row>
    <row r="40" spans="1:7" s="20" customFormat="1" ht="15.75" customHeight="1" x14ac:dyDescent="0.25">
      <c r="A40" s="27" t="str">
        <f>A514</f>
        <v>5. Monitoramento da Frota</v>
      </c>
      <c r="B40" s="28"/>
      <c r="C40" s="16"/>
      <c r="D40" s="16"/>
      <c r="E40" s="17">
        <f>+F522</f>
        <v>908</v>
      </c>
      <c r="F40" s="18">
        <f t="shared" si="1"/>
        <v>1.1448484897548386E-3</v>
      </c>
      <c r="G40" s="19"/>
    </row>
    <row r="41" spans="1:7" s="20" customFormat="1" ht="15.75" customHeight="1" thickBot="1" x14ac:dyDescent="0.3">
      <c r="A41" s="27" t="str">
        <f>A527</f>
        <v>6. Benefícios e Despesas Indiretas - BDI</v>
      </c>
      <c r="B41" s="28"/>
      <c r="C41" s="16"/>
      <c r="D41" s="16"/>
      <c r="E41" s="32">
        <f>+F532</f>
        <v>174364.69500839006</v>
      </c>
      <c r="F41" s="18">
        <f t="shared" si="1"/>
        <v>0.21984709002964581</v>
      </c>
      <c r="G41" s="19"/>
    </row>
    <row r="42" spans="1:7" s="8" customFormat="1" ht="15.75" customHeight="1" thickBot="1" x14ac:dyDescent="0.3">
      <c r="A42" s="33" t="s">
        <v>25</v>
      </c>
      <c r="B42" s="34"/>
      <c r="C42" s="35"/>
      <c r="D42" s="35"/>
      <c r="E42" s="36">
        <f>+E6+E23+E24+E39+E40+E41</f>
        <v>793118.04848032072</v>
      </c>
      <c r="F42" s="37">
        <f>F6+F23+F24+F39+F40+F41</f>
        <v>1.0000000000000002</v>
      </c>
      <c r="G42" s="7"/>
    </row>
    <row r="44" spans="1:7" ht="13.5" thickBot="1" x14ac:dyDescent="0.3"/>
    <row r="45" spans="1:7" s="8" customFormat="1" ht="15" customHeight="1" thickBot="1" x14ac:dyDescent="0.3">
      <c r="A45" s="232" t="s">
        <v>26</v>
      </c>
      <c r="B45" s="233"/>
      <c r="C45" s="233"/>
      <c r="D45" s="233"/>
      <c r="E45" s="234"/>
      <c r="F45" s="39"/>
      <c r="G45" s="7"/>
    </row>
    <row r="46" spans="1:7" s="8" customFormat="1" ht="15" customHeight="1" thickBot="1" x14ac:dyDescent="0.3">
      <c r="A46" s="237" t="s">
        <v>27</v>
      </c>
      <c r="B46" s="238"/>
      <c r="C46" s="238"/>
      <c r="D46" s="239"/>
      <c r="E46" s="40" t="s">
        <v>28</v>
      </c>
      <c r="F46" s="39"/>
      <c r="G46" s="7"/>
    </row>
    <row r="47" spans="1:7" s="8" customFormat="1" ht="15" customHeight="1" x14ac:dyDescent="0.25">
      <c r="A47" s="41" t="str">
        <f>+A71</f>
        <v>1.1. Coletor Turno Dia</v>
      </c>
      <c r="B47" s="42"/>
      <c r="C47" s="41"/>
      <c r="D47" s="43"/>
      <c r="E47" s="44">
        <v>30</v>
      </c>
      <c r="F47" s="39"/>
      <c r="G47" s="7"/>
    </row>
    <row r="48" spans="1:7" s="8" customFormat="1" ht="15" customHeight="1" x14ac:dyDescent="0.25">
      <c r="A48" s="41" t="str">
        <f>+A84</f>
        <v>1.2. Coletor Turno Noite</v>
      </c>
      <c r="B48" s="42"/>
      <c r="C48" s="41"/>
      <c r="D48" s="43"/>
      <c r="E48" s="208">
        <v>20</v>
      </c>
      <c r="F48" s="39"/>
      <c r="G48" s="7"/>
    </row>
    <row r="49" spans="1:7" s="8" customFormat="1" ht="15" customHeight="1" x14ac:dyDescent="0.25">
      <c r="A49" s="41" t="str">
        <f>+A103</f>
        <v>1.3. Motorista Turno do Dia</v>
      </c>
      <c r="B49" s="42"/>
      <c r="C49" s="41"/>
      <c r="D49" s="43"/>
      <c r="E49" s="208">
        <v>10</v>
      </c>
      <c r="F49" s="39"/>
      <c r="G49" s="7"/>
    </row>
    <row r="50" spans="1:7" s="8" customFormat="1" ht="15" customHeight="1" x14ac:dyDescent="0.25">
      <c r="A50" s="41" t="str">
        <f>+A118</f>
        <v>1.4. Motorista Turno Noite</v>
      </c>
      <c r="B50" s="42"/>
      <c r="C50" s="41"/>
      <c r="D50" s="43"/>
      <c r="E50" s="208">
        <v>8</v>
      </c>
      <c r="F50" s="39"/>
      <c r="G50" s="7"/>
    </row>
    <row r="51" spans="1:7" s="8" customFormat="1" ht="15" customHeight="1" x14ac:dyDescent="0.25">
      <c r="A51" s="41" t="s">
        <v>29</v>
      </c>
      <c r="B51" s="45"/>
      <c r="C51" s="43"/>
      <c r="D51" s="43"/>
      <c r="E51" s="46">
        <v>1</v>
      </c>
      <c r="F51" s="39"/>
      <c r="G51" s="7"/>
    </row>
    <row r="52" spans="1:7" s="8" customFormat="1" ht="15" customHeight="1" x14ac:dyDescent="0.25">
      <c r="A52" s="41" t="s">
        <v>30</v>
      </c>
      <c r="B52" s="45"/>
      <c r="C52" s="43"/>
      <c r="D52" s="43"/>
      <c r="E52" s="46">
        <v>1</v>
      </c>
      <c r="F52" s="39"/>
      <c r="G52" s="7"/>
    </row>
    <row r="53" spans="1:7" s="8" customFormat="1" ht="15" customHeight="1" x14ac:dyDescent="0.25">
      <c r="A53" s="41" t="s">
        <v>31</v>
      </c>
      <c r="B53" s="45"/>
      <c r="C53" s="43"/>
      <c r="D53" s="43"/>
      <c r="E53" s="46">
        <v>1</v>
      </c>
      <c r="F53" s="39"/>
      <c r="G53" s="7"/>
    </row>
    <row r="54" spans="1:7" s="8" customFormat="1" ht="15" customHeight="1" x14ac:dyDescent="0.25">
      <c r="A54" s="41" t="s">
        <v>32</v>
      </c>
      <c r="B54" s="45"/>
      <c r="C54" s="43"/>
      <c r="D54" s="43"/>
      <c r="E54" s="46">
        <v>1</v>
      </c>
      <c r="F54" s="39"/>
      <c r="G54" s="7"/>
    </row>
    <row r="55" spans="1:7" s="8" customFormat="1" ht="15" customHeight="1" x14ac:dyDescent="0.25">
      <c r="A55" s="41" t="s">
        <v>33</v>
      </c>
      <c r="B55" s="45"/>
      <c r="C55" s="43"/>
      <c r="D55" s="43"/>
      <c r="E55" s="46">
        <v>2</v>
      </c>
      <c r="F55" s="39"/>
      <c r="G55" s="7"/>
    </row>
    <row r="56" spans="1:7" s="8" customFormat="1" ht="15" customHeight="1" x14ac:dyDescent="0.25">
      <c r="A56" s="41" t="s">
        <v>34</v>
      </c>
      <c r="B56" s="45"/>
      <c r="C56" s="43"/>
      <c r="D56" s="43"/>
      <c r="E56" s="46">
        <v>1</v>
      </c>
      <c r="F56" s="39"/>
      <c r="G56" s="7"/>
    </row>
    <row r="57" spans="1:7" s="8" customFormat="1" ht="15" customHeight="1" x14ac:dyDescent="0.25">
      <c r="A57" s="41" t="s">
        <v>35</v>
      </c>
      <c r="B57" s="43"/>
      <c r="C57" s="43"/>
      <c r="D57" s="43"/>
      <c r="E57" s="46">
        <v>1</v>
      </c>
      <c r="F57" s="39"/>
      <c r="G57" s="7"/>
    </row>
    <row r="58" spans="1:7" s="8" customFormat="1" ht="15" customHeight="1" x14ac:dyDescent="0.25">
      <c r="A58" s="41" t="s">
        <v>36</v>
      </c>
      <c r="B58" s="43"/>
      <c r="C58" s="43"/>
      <c r="D58" s="43"/>
      <c r="E58" s="46">
        <v>2</v>
      </c>
      <c r="F58" s="39"/>
      <c r="G58" s="7"/>
    </row>
    <row r="59" spans="1:7" s="8" customFormat="1" ht="15" customHeight="1" x14ac:dyDescent="0.25">
      <c r="A59" s="41" t="s">
        <v>37</v>
      </c>
      <c r="B59" s="43"/>
      <c r="C59" s="43"/>
      <c r="D59" s="43"/>
      <c r="E59" s="46">
        <v>1</v>
      </c>
      <c r="F59" s="39"/>
      <c r="G59" s="7"/>
    </row>
    <row r="60" spans="1:7" s="8" customFormat="1" ht="15" customHeight="1" x14ac:dyDescent="0.25">
      <c r="A60" s="41" t="s">
        <v>38</v>
      </c>
      <c r="B60" s="43"/>
      <c r="C60" s="43"/>
      <c r="D60" s="43"/>
      <c r="E60" s="46">
        <v>1</v>
      </c>
      <c r="F60" s="39"/>
      <c r="G60" s="7"/>
    </row>
    <row r="61" spans="1:7" s="8" customFormat="1" ht="15" customHeight="1" thickBot="1" x14ac:dyDescent="0.3">
      <c r="A61" s="47" t="s">
        <v>39</v>
      </c>
      <c r="B61" s="48"/>
      <c r="C61" s="48"/>
      <c r="D61" s="49"/>
      <c r="E61" s="50">
        <f>SUM(E47:E60)</f>
        <v>80</v>
      </c>
      <c r="F61" s="39"/>
      <c r="G61" s="7"/>
    </row>
    <row r="62" spans="1:7" s="8" customFormat="1" ht="15" customHeight="1" thickBot="1" x14ac:dyDescent="0.3">
      <c r="A62" s="51"/>
      <c r="B62" s="52"/>
      <c r="C62" s="53"/>
      <c r="D62" s="53"/>
      <c r="E62" s="54"/>
      <c r="F62" s="39"/>
      <c r="G62" s="7"/>
    </row>
    <row r="63" spans="1:7" s="8" customFormat="1" ht="15" customHeight="1" x14ac:dyDescent="0.25">
      <c r="A63" s="224" t="s">
        <v>40</v>
      </c>
      <c r="B63" s="225"/>
      <c r="C63" s="225"/>
      <c r="D63" s="225"/>
      <c r="E63" s="40" t="s">
        <v>28</v>
      </c>
      <c r="F63" s="38"/>
      <c r="G63" s="7"/>
    </row>
    <row r="64" spans="1:7" s="8" customFormat="1" ht="15" customHeight="1" x14ac:dyDescent="0.25">
      <c r="A64" s="41" t="str">
        <f>+A366</f>
        <v>3.1. Veículo Coletor Compactador 15 m³</v>
      </c>
      <c r="B64" s="41"/>
      <c r="C64" s="41"/>
      <c r="D64" s="55"/>
      <c r="E64" s="56">
        <f>C381</f>
        <v>11</v>
      </c>
      <c r="F64" s="38"/>
      <c r="G64" s="7"/>
    </row>
    <row r="65" spans="1:7" s="8" customFormat="1" ht="15" customHeight="1" x14ac:dyDescent="0.25">
      <c r="A65" s="41" t="s">
        <v>18</v>
      </c>
      <c r="B65" s="41"/>
      <c r="C65" s="41"/>
      <c r="D65" s="55"/>
      <c r="E65" s="56">
        <v>2</v>
      </c>
      <c r="F65" s="38"/>
      <c r="G65" s="7"/>
    </row>
    <row r="66" spans="1:7" s="8" customFormat="1" ht="15.75" thickBot="1" x14ac:dyDescent="0.3">
      <c r="A66" s="53"/>
      <c r="B66" s="53"/>
      <c r="C66" s="53"/>
      <c r="D66" s="38"/>
      <c r="E66" s="57"/>
      <c r="F66" s="38"/>
      <c r="G66" s="7"/>
    </row>
    <row r="67" spans="1:7" s="20" customFormat="1" ht="15.75" customHeight="1" thickBot="1" x14ac:dyDescent="0.3">
      <c r="A67" s="58" t="s">
        <v>41</v>
      </c>
      <c r="B67" s="59">
        <v>1</v>
      </c>
      <c r="C67" s="60"/>
      <c r="E67" s="61"/>
      <c r="G67" s="19"/>
    </row>
    <row r="68" spans="1:7" s="8" customFormat="1" ht="15.75" customHeight="1" thickBot="1" x14ac:dyDescent="0.3">
      <c r="A68" s="53"/>
      <c r="B68" s="53"/>
      <c r="C68" s="53"/>
      <c r="D68" s="38"/>
      <c r="E68" s="57"/>
      <c r="F68" s="38"/>
      <c r="G68" s="7"/>
    </row>
    <row r="69" spans="1:7" ht="15" customHeight="1" thickBot="1" x14ac:dyDescent="0.3">
      <c r="A69" s="62" t="s">
        <v>42</v>
      </c>
    </row>
    <row r="70" spans="1:7" ht="11.25" customHeight="1" x14ac:dyDescent="0.25"/>
    <row r="71" spans="1:7" ht="16.149999999999999" customHeight="1" thickBot="1" x14ac:dyDescent="0.3">
      <c r="A71" s="63" t="s">
        <v>43</v>
      </c>
    </row>
    <row r="72" spans="1:7" ht="15" customHeight="1" thickBot="1" x14ac:dyDescent="0.3">
      <c r="A72" s="64" t="s">
        <v>44</v>
      </c>
      <c r="B72" s="65" t="s">
        <v>45</v>
      </c>
      <c r="C72" s="65" t="s">
        <v>28</v>
      </c>
      <c r="D72" s="66" t="s">
        <v>46</v>
      </c>
      <c r="E72" s="66" t="s">
        <v>47</v>
      </c>
      <c r="F72" s="67" t="s">
        <v>48</v>
      </c>
    </row>
    <row r="73" spans="1:7" ht="15" customHeight="1" x14ac:dyDescent="0.25">
      <c r="A73" s="68" t="s">
        <v>49</v>
      </c>
      <c r="B73" s="69" t="s">
        <v>50</v>
      </c>
      <c r="C73" s="69">
        <v>1</v>
      </c>
      <c r="D73" s="209">
        <v>1397.27</v>
      </c>
      <c r="E73" s="70">
        <f>C73*D73</f>
        <v>1397.27</v>
      </c>
      <c r="F73" s="71"/>
    </row>
    <row r="74" spans="1:7" ht="15" customHeight="1" x14ac:dyDescent="0.25">
      <c r="A74" s="72" t="s">
        <v>51</v>
      </c>
      <c r="B74" s="73" t="s">
        <v>52</v>
      </c>
      <c r="C74" s="73">
        <v>7.33</v>
      </c>
      <c r="D74" s="74">
        <f>D73/220*2</f>
        <v>12.702454545454545</v>
      </c>
      <c r="E74" s="74">
        <f>C74*D74</f>
        <v>93.108991818181821</v>
      </c>
      <c r="F74" s="71"/>
    </row>
    <row r="75" spans="1:7" ht="15" customHeight="1" x14ac:dyDescent="0.25">
      <c r="A75" s="72" t="s">
        <v>53</v>
      </c>
      <c r="B75" s="73" t="s">
        <v>52</v>
      </c>
      <c r="C75" s="73">
        <v>5.2</v>
      </c>
      <c r="D75" s="74">
        <f>D73/220*1.5</f>
        <v>9.5268409090909092</v>
      </c>
      <c r="E75" s="74">
        <f>C75*D75</f>
        <v>49.539572727272727</v>
      </c>
      <c r="F75" s="71"/>
    </row>
    <row r="76" spans="1:7" ht="15" customHeight="1" x14ac:dyDescent="0.25">
      <c r="A76" s="72" t="s">
        <v>54</v>
      </c>
      <c r="B76" s="73" t="s">
        <v>55</v>
      </c>
      <c r="C76" s="75"/>
      <c r="D76" s="74">
        <f>63/302*(SUM(E74:E75))</f>
        <v>29.757813133654427</v>
      </c>
      <c r="E76" s="74">
        <f>D76</f>
        <v>29.757813133654427</v>
      </c>
      <c r="F76" s="71"/>
    </row>
    <row r="77" spans="1:7" ht="15" customHeight="1" x14ac:dyDescent="0.25">
      <c r="A77" s="72" t="s">
        <v>56</v>
      </c>
      <c r="B77" s="73" t="s">
        <v>5</v>
      </c>
      <c r="C77" s="73">
        <v>40</v>
      </c>
      <c r="D77" s="74">
        <f>SUM(E73:E76)</f>
        <v>1569.676377679109</v>
      </c>
      <c r="E77" s="74">
        <f>C77*D77/100</f>
        <v>627.8705510716436</v>
      </c>
      <c r="F77" s="71"/>
    </row>
    <row r="78" spans="1:7" ht="15" customHeight="1" x14ac:dyDescent="0.25">
      <c r="A78" s="76" t="s">
        <v>57</v>
      </c>
      <c r="B78" s="77"/>
      <c r="C78" s="77"/>
      <c r="D78" s="78"/>
      <c r="E78" s="79">
        <f>SUM(E73:E77)</f>
        <v>2197.5469287507526</v>
      </c>
      <c r="F78" s="71"/>
    </row>
    <row r="79" spans="1:7" ht="15" customHeight="1" x14ac:dyDescent="0.25">
      <c r="A79" s="72" t="s">
        <v>58</v>
      </c>
      <c r="B79" s="73" t="s">
        <v>5</v>
      </c>
      <c r="C79" s="80">
        <v>70.81</v>
      </c>
      <c r="D79" s="74">
        <f>E78</f>
        <v>2197.5469287507526</v>
      </c>
      <c r="E79" s="74">
        <f>D79*C79/100</f>
        <v>1556.0829802484079</v>
      </c>
      <c r="F79" s="71"/>
    </row>
    <row r="80" spans="1:7" ht="15" customHeight="1" x14ac:dyDescent="0.25">
      <c r="A80" s="76" t="s">
        <v>59</v>
      </c>
      <c r="B80" s="77"/>
      <c r="C80" s="77"/>
      <c r="D80" s="78"/>
      <c r="E80" s="79">
        <f>E78+E79</f>
        <v>3753.6299089991608</v>
      </c>
      <c r="F80" s="71"/>
    </row>
    <row r="81" spans="1:7" ht="15" customHeight="1" thickBot="1" x14ac:dyDescent="0.3">
      <c r="A81" s="72" t="s">
        <v>60</v>
      </c>
      <c r="B81" s="73" t="s">
        <v>61</v>
      </c>
      <c r="C81" s="211">
        <v>30</v>
      </c>
      <c r="D81" s="74">
        <f>E80</f>
        <v>3753.6299089991608</v>
      </c>
      <c r="E81" s="74">
        <f>C81*D81</f>
        <v>112608.89726997483</v>
      </c>
      <c r="F81" s="71"/>
      <c r="G81" s="7"/>
    </row>
    <row r="82" spans="1:7" ht="13.9" customHeight="1" thickBot="1" x14ac:dyDescent="0.3">
      <c r="C82" s="81"/>
      <c r="D82" s="82" t="s">
        <v>62</v>
      </c>
      <c r="E82" s="83">
        <f>$B$67</f>
        <v>1</v>
      </c>
      <c r="F82" s="84">
        <f>E81*E82</f>
        <v>112608.89726997483</v>
      </c>
      <c r="G82" s="7"/>
    </row>
    <row r="83" spans="1:7" ht="11.25" customHeight="1" x14ac:dyDescent="0.25">
      <c r="C83" s="81"/>
      <c r="D83" s="85"/>
    </row>
    <row r="84" spans="1:7" ht="16.5" thickBot="1" x14ac:dyDescent="0.3">
      <c r="A84" s="63" t="s">
        <v>63</v>
      </c>
      <c r="C84" s="81"/>
    </row>
    <row r="85" spans="1:7" ht="13.5" thickBot="1" x14ac:dyDescent="0.3">
      <c r="A85" s="64" t="s">
        <v>44</v>
      </c>
      <c r="B85" s="65" t="s">
        <v>45</v>
      </c>
      <c r="C85" s="65" t="s">
        <v>28</v>
      </c>
      <c r="D85" s="66" t="s">
        <v>46</v>
      </c>
      <c r="E85" s="66" t="s">
        <v>47</v>
      </c>
      <c r="F85" s="67" t="s">
        <v>48</v>
      </c>
    </row>
    <row r="86" spans="1:7" ht="15" customHeight="1" x14ac:dyDescent="0.25">
      <c r="A86" s="86" t="s">
        <v>49</v>
      </c>
      <c r="B86" s="87" t="s">
        <v>50</v>
      </c>
      <c r="C86" s="87">
        <v>1</v>
      </c>
      <c r="D86" s="210">
        <f>D73</f>
        <v>1397.27</v>
      </c>
      <c r="E86" s="88">
        <f>C86*D86</f>
        <v>1397.27</v>
      </c>
      <c r="F86" s="85"/>
    </row>
    <row r="87" spans="1:7" ht="15" customHeight="1" x14ac:dyDescent="0.25">
      <c r="A87" s="55" t="s">
        <v>64</v>
      </c>
      <c r="B87" s="89" t="s">
        <v>65</v>
      </c>
      <c r="C87" s="89">
        <v>5.33</v>
      </c>
      <c r="D87" s="90"/>
      <c r="E87" s="90"/>
      <c r="F87" s="85"/>
    </row>
    <row r="88" spans="1:7" ht="15" customHeight="1" x14ac:dyDescent="0.25">
      <c r="A88" s="55"/>
      <c r="B88" s="89" t="s">
        <v>66</v>
      </c>
      <c r="C88" s="91">
        <f>C87*8/7</f>
        <v>6.0914285714285716</v>
      </c>
      <c r="D88" s="90">
        <f>D86/220*0.2</f>
        <v>1.2702454545454547</v>
      </c>
      <c r="E88" s="90">
        <f>C88*D88</f>
        <v>7.7376094545454555</v>
      </c>
      <c r="F88" s="85"/>
    </row>
    <row r="89" spans="1:7" ht="15" customHeight="1" x14ac:dyDescent="0.25">
      <c r="A89" s="55" t="s">
        <v>51</v>
      </c>
      <c r="B89" s="89" t="s">
        <v>52</v>
      </c>
      <c r="C89" s="89">
        <v>0</v>
      </c>
      <c r="D89" s="90">
        <f>D86/220*2</f>
        <v>12.702454545454545</v>
      </c>
      <c r="E89" s="90">
        <f>C89*D89</f>
        <v>0</v>
      </c>
      <c r="F89" s="85"/>
    </row>
    <row r="90" spans="1:7" ht="15" customHeight="1" x14ac:dyDescent="0.25">
      <c r="A90" s="55" t="s">
        <v>67</v>
      </c>
      <c r="B90" s="89" t="s">
        <v>65</v>
      </c>
      <c r="C90" s="89">
        <v>7.33</v>
      </c>
      <c r="D90" s="90"/>
      <c r="E90" s="90"/>
      <c r="F90" s="85"/>
    </row>
    <row r="91" spans="1:7" ht="15" customHeight="1" x14ac:dyDescent="0.25">
      <c r="A91" s="55"/>
      <c r="B91" s="89" t="s">
        <v>66</v>
      </c>
      <c r="C91" s="91">
        <f>C90*8/7</f>
        <v>8.3771428571428572</v>
      </c>
      <c r="D91" s="90">
        <f>D86/220*2*1.2</f>
        <v>15.242945454545453</v>
      </c>
      <c r="E91" s="90">
        <f>C91*D91</f>
        <v>127.69233163636362</v>
      </c>
      <c r="F91" s="85"/>
    </row>
    <row r="92" spans="1:7" ht="15" customHeight="1" x14ac:dyDescent="0.25">
      <c r="A92" s="55" t="s">
        <v>53</v>
      </c>
      <c r="B92" s="89" t="s">
        <v>52</v>
      </c>
      <c r="C92" s="89">
        <v>0</v>
      </c>
      <c r="D92" s="90">
        <f>D86/220*1.5</f>
        <v>9.5268409090909092</v>
      </c>
      <c r="E92" s="90">
        <f>C92*D92</f>
        <v>0</v>
      </c>
      <c r="F92" s="85"/>
    </row>
    <row r="93" spans="1:7" ht="15" customHeight="1" x14ac:dyDescent="0.25">
      <c r="A93" s="55" t="s">
        <v>68</v>
      </c>
      <c r="B93" s="89" t="s">
        <v>65</v>
      </c>
      <c r="C93" s="89">
        <v>10.4</v>
      </c>
      <c r="D93" s="90"/>
      <c r="E93" s="90"/>
      <c r="F93" s="85"/>
    </row>
    <row r="94" spans="1:7" ht="15" customHeight="1" x14ac:dyDescent="0.25">
      <c r="A94" s="55"/>
      <c r="B94" s="89" t="s">
        <v>66</v>
      </c>
      <c r="C94" s="91">
        <f>C93*8/7</f>
        <v>11.885714285714286</v>
      </c>
      <c r="D94" s="90">
        <f>D86/220*1.5*1.2</f>
        <v>11.43220909090909</v>
      </c>
      <c r="E94" s="90">
        <f>C94*D94</f>
        <v>135.8799709090909</v>
      </c>
      <c r="F94" s="85"/>
    </row>
    <row r="95" spans="1:7" ht="15" customHeight="1" x14ac:dyDescent="0.25">
      <c r="A95" s="55" t="s">
        <v>54</v>
      </c>
      <c r="B95" s="89" t="s">
        <v>55</v>
      </c>
      <c r="C95" s="81"/>
      <c r="D95" s="90">
        <f>63/302*(SUM(E89:E94))</f>
        <v>54.983626027694157</v>
      </c>
      <c r="E95" s="90">
        <f>D95</f>
        <v>54.983626027694157</v>
      </c>
      <c r="F95" s="85"/>
    </row>
    <row r="96" spans="1:7" ht="15" customHeight="1" x14ac:dyDescent="0.25">
      <c r="A96" s="55" t="s">
        <v>56</v>
      </c>
      <c r="B96" s="89" t="s">
        <v>5</v>
      </c>
      <c r="C96" s="89">
        <f>+C77</f>
        <v>40</v>
      </c>
      <c r="D96" s="90">
        <f>SUM(E86:E95)</f>
        <v>1723.563538027694</v>
      </c>
      <c r="E96" s="90">
        <f>C96*D96/100</f>
        <v>689.42541521107762</v>
      </c>
      <c r="F96" s="85"/>
    </row>
    <row r="97" spans="1:7" ht="15" customHeight="1" x14ac:dyDescent="0.25">
      <c r="A97" s="92" t="s">
        <v>57</v>
      </c>
      <c r="B97" s="93"/>
      <c r="C97" s="93"/>
      <c r="D97" s="94"/>
      <c r="E97" s="95">
        <f>SUM(E86:E96)</f>
        <v>2412.9889532387715</v>
      </c>
      <c r="F97" s="85"/>
    </row>
    <row r="98" spans="1:7" ht="15" customHeight="1" x14ac:dyDescent="0.25">
      <c r="A98" s="55" t="s">
        <v>58</v>
      </c>
      <c r="B98" s="89" t="s">
        <v>5</v>
      </c>
      <c r="C98" s="96">
        <v>70.81</v>
      </c>
      <c r="D98" s="90">
        <f>E97</f>
        <v>2412.9889532387715</v>
      </c>
      <c r="E98" s="90">
        <f>D98*C98/100</f>
        <v>1708.6374777883743</v>
      </c>
      <c r="F98" s="85"/>
    </row>
    <row r="99" spans="1:7" ht="15" customHeight="1" x14ac:dyDescent="0.25">
      <c r="A99" s="92" t="s">
        <v>59</v>
      </c>
      <c r="B99" s="93"/>
      <c r="C99" s="93"/>
      <c r="D99" s="94"/>
      <c r="E99" s="95">
        <f>E97+E98</f>
        <v>4121.6264310271454</v>
      </c>
      <c r="F99" s="85"/>
    </row>
    <row r="100" spans="1:7" ht="15" customHeight="1" thickBot="1" x14ac:dyDescent="0.3">
      <c r="A100" s="55" t="s">
        <v>60</v>
      </c>
      <c r="B100" s="89" t="s">
        <v>61</v>
      </c>
      <c r="C100" s="211">
        <v>20</v>
      </c>
      <c r="D100" s="90">
        <f>E99</f>
        <v>4121.6264310271454</v>
      </c>
      <c r="E100" s="90">
        <f>C100*D100</f>
        <v>82432.5286205429</v>
      </c>
      <c r="F100" s="85"/>
    </row>
    <row r="101" spans="1:7" ht="13.5" thickBot="1" x14ac:dyDescent="0.3">
      <c r="C101" s="81"/>
      <c r="D101" s="82" t="s">
        <v>62</v>
      </c>
      <c r="E101" s="97">
        <f>$B$67</f>
        <v>1</v>
      </c>
      <c r="F101" s="84">
        <f>E100*E101</f>
        <v>82432.5286205429</v>
      </c>
    </row>
    <row r="102" spans="1:7" ht="11.25" customHeight="1" x14ac:dyDescent="0.25">
      <c r="C102" s="81"/>
    </row>
    <row r="103" spans="1:7" ht="16.5" thickBot="1" x14ac:dyDescent="0.3">
      <c r="A103" s="63" t="s">
        <v>69</v>
      </c>
      <c r="C103" s="81"/>
    </row>
    <row r="104" spans="1:7" s="98" customFormat="1" ht="13.15" customHeight="1" thickBot="1" x14ac:dyDescent="0.3">
      <c r="A104" s="64" t="s">
        <v>44</v>
      </c>
      <c r="B104" s="65" t="s">
        <v>45</v>
      </c>
      <c r="C104" s="65" t="s">
        <v>28</v>
      </c>
      <c r="D104" s="66" t="s">
        <v>46</v>
      </c>
      <c r="E104" s="66" t="s">
        <v>47</v>
      </c>
      <c r="F104" s="67" t="s">
        <v>48</v>
      </c>
      <c r="G104" s="39"/>
    </row>
    <row r="105" spans="1:7" ht="15" customHeight="1" x14ac:dyDescent="0.25">
      <c r="A105" s="86" t="s">
        <v>70</v>
      </c>
      <c r="B105" s="87" t="s">
        <v>50</v>
      </c>
      <c r="C105" s="87">
        <v>1</v>
      </c>
      <c r="D105" s="210">
        <v>1930.19</v>
      </c>
      <c r="E105" s="88">
        <f>C105*D105</f>
        <v>1930.19</v>
      </c>
      <c r="F105" s="85"/>
      <c r="G105" s="71"/>
    </row>
    <row r="106" spans="1:7" ht="15" customHeight="1" x14ac:dyDescent="0.25">
      <c r="A106" s="86" t="s">
        <v>71</v>
      </c>
      <c r="B106" s="87" t="s">
        <v>50</v>
      </c>
      <c r="C106" s="87">
        <v>1</v>
      </c>
      <c r="D106" s="88">
        <v>1100</v>
      </c>
      <c r="E106" s="88"/>
      <c r="F106" s="85"/>
    </row>
    <row r="107" spans="1:7" ht="15" customHeight="1" x14ac:dyDescent="0.25">
      <c r="A107" s="55" t="s">
        <v>51</v>
      </c>
      <c r="B107" s="89" t="s">
        <v>52</v>
      </c>
      <c r="C107" s="89">
        <v>7.33</v>
      </c>
      <c r="D107" s="90">
        <f>D105/220*2</f>
        <v>17.547181818181819</v>
      </c>
      <c r="E107" s="90">
        <f>C107*D107</f>
        <v>128.62084272727273</v>
      </c>
      <c r="F107" s="85"/>
    </row>
    <row r="108" spans="1:7" ht="15" customHeight="1" x14ac:dyDescent="0.25">
      <c r="A108" s="55" t="s">
        <v>53</v>
      </c>
      <c r="B108" s="89" t="s">
        <v>52</v>
      </c>
      <c r="C108" s="89">
        <v>5.2</v>
      </c>
      <c r="D108" s="90">
        <f>D105/220*1.5</f>
        <v>13.160386363636364</v>
      </c>
      <c r="E108" s="90">
        <f>C108*D108</f>
        <v>68.4340090909091</v>
      </c>
      <c r="F108" s="85"/>
    </row>
    <row r="109" spans="1:7" ht="15" customHeight="1" x14ac:dyDescent="0.25">
      <c r="A109" s="55" t="s">
        <v>54</v>
      </c>
      <c r="B109" s="89" t="s">
        <v>55</v>
      </c>
      <c r="C109" s="81"/>
      <c r="D109" s="90">
        <f>63/302*(SUM(E107:E108))</f>
        <v>41.107469087898856</v>
      </c>
      <c r="E109" s="90">
        <f>D109</f>
        <v>41.107469087898856</v>
      </c>
      <c r="F109" s="85"/>
    </row>
    <row r="110" spans="1:7" ht="15" customHeight="1" x14ac:dyDescent="0.25">
      <c r="A110" s="55" t="s">
        <v>72</v>
      </c>
      <c r="B110" s="89"/>
      <c r="C110" s="89">
        <v>2</v>
      </c>
      <c r="D110" s="90"/>
      <c r="E110" s="90"/>
      <c r="F110" s="85"/>
    </row>
    <row r="111" spans="1:7" ht="15" customHeight="1" x14ac:dyDescent="0.25">
      <c r="A111" s="55" t="s">
        <v>56</v>
      </c>
      <c r="B111" s="89" t="s">
        <v>5</v>
      </c>
      <c r="C111" s="89">
        <v>40</v>
      </c>
      <c r="D111" s="90">
        <f>IF(C110=2,SUM(E105:E109),IF(C110=1,(SUM(E105:E109))*D106/D105,0))</f>
        <v>2168.3523209060809</v>
      </c>
      <c r="E111" s="90">
        <f>C111*D111/100</f>
        <v>867.34092836243235</v>
      </c>
      <c r="F111" s="85"/>
    </row>
    <row r="112" spans="1:7" s="20" customFormat="1" ht="15" customHeight="1" x14ac:dyDescent="0.25">
      <c r="A112" s="99" t="s">
        <v>57</v>
      </c>
      <c r="B112" s="93"/>
      <c r="C112" s="93"/>
      <c r="D112" s="94"/>
      <c r="E112" s="100">
        <f>SUM(E105:E111)</f>
        <v>3035.6932492685132</v>
      </c>
      <c r="F112" s="101"/>
      <c r="G112" s="19"/>
    </row>
    <row r="113" spans="1:7" ht="15" customHeight="1" x14ac:dyDescent="0.25">
      <c r="A113" s="55" t="s">
        <v>58</v>
      </c>
      <c r="B113" s="89" t="s">
        <v>5</v>
      </c>
      <c r="C113" s="96">
        <v>70.81</v>
      </c>
      <c r="D113" s="90">
        <f>E112</f>
        <v>3035.6932492685132</v>
      </c>
      <c r="E113" s="90">
        <f>D113*C113/100</f>
        <v>2149.5743898070341</v>
      </c>
      <c r="F113" s="85"/>
    </row>
    <row r="114" spans="1:7" s="20" customFormat="1" ht="15" customHeight="1" x14ac:dyDescent="0.25">
      <c r="A114" s="99" t="s">
        <v>73</v>
      </c>
      <c r="B114" s="102"/>
      <c r="C114" s="102"/>
      <c r="D114" s="103"/>
      <c r="E114" s="100">
        <f>SUM(E112:E113)</f>
        <v>5185.2676390755478</v>
      </c>
      <c r="F114" s="101"/>
      <c r="G114" s="19"/>
    </row>
    <row r="115" spans="1:7" ht="15" customHeight="1" thickBot="1" x14ac:dyDescent="0.3">
      <c r="A115" s="55" t="s">
        <v>60</v>
      </c>
      <c r="B115" s="89" t="s">
        <v>61</v>
      </c>
      <c r="C115" s="211">
        <v>10</v>
      </c>
      <c r="D115" s="90">
        <f>E114</f>
        <v>5185.2676390755478</v>
      </c>
      <c r="E115" s="90">
        <f>C115*D115</f>
        <v>51852.676390755478</v>
      </c>
      <c r="F115" s="85"/>
    </row>
    <row r="116" spans="1:7" ht="13.5" thickBot="1" x14ac:dyDescent="0.3">
      <c r="C116" s="81"/>
      <c r="D116" s="82" t="s">
        <v>74</v>
      </c>
      <c r="E116" s="97">
        <v>1</v>
      </c>
      <c r="F116" s="84">
        <f>E115*E116</f>
        <v>51852.676390755478</v>
      </c>
    </row>
    <row r="117" spans="1:7" ht="11.25" customHeight="1" x14ac:dyDescent="0.25">
      <c r="C117" s="81"/>
    </row>
    <row r="118" spans="1:7" ht="16.5" thickBot="1" x14ac:dyDescent="0.3">
      <c r="A118" s="63" t="s">
        <v>75</v>
      </c>
      <c r="C118" s="81"/>
    </row>
    <row r="119" spans="1:7" ht="15" customHeight="1" thickBot="1" x14ac:dyDescent="0.3">
      <c r="A119" s="64" t="s">
        <v>44</v>
      </c>
      <c r="B119" s="65" t="s">
        <v>45</v>
      </c>
      <c r="C119" s="65" t="s">
        <v>28</v>
      </c>
      <c r="D119" s="66" t="s">
        <v>46</v>
      </c>
      <c r="E119" s="66" t="s">
        <v>47</v>
      </c>
      <c r="F119" s="67" t="s">
        <v>48</v>
      </c>
      <c r="G119" s="71"/>
    </row>
    <row r="120" spans="1:7" ht="15" customHeight="1" x14ac:dyDescent="0.25">
      <c r="A120" s="86" t="s">
        <v>49</v>
      </c>
      <c r="B120" s="87" t="s">
        <v>50</v>
      </c>
      <c r="C120" s="87">
        <v>1</v>
      </c>
      <c r="D120" s="210">
        <f>D105</f>
        <v>1930.19</v>
      </c>
      <c r="E120" s="88">
        <f>C120*D120</f>
        <v>1930.19</v>
      </c>
      <c r="F120" s="85"/>
    </row>
    <row r="121" spans="1:7" ht="15" customHeight="1" x14ac:dyDescent="0.25">
      <c r="A121" s="86" t="s">
        <v>76</v>
      </c>
      <c r="B121" s="87" t="s">
        <v>50</v>
      </c>
      <c r="C121" s="87">
        <v>1</v>
      </c>
      <c r="D121" s="90">
        <f>D106</f>
        <v>1100</v>
      </c>
      <c r="E121" s="90"/>
      <c r="F121" s="85"/>
    </row>
    <row r="122" spans="1:7" ht="15" customHeight="1" x14ac:dyDescent="0.25">
      <c r="A122" s="55" t="s">
        <v>64</v>
      </c>
      <c r="B122" s="89" t="s">
        <v>65</v>
      </c>
      <c r="C122" s="89">
        <v>5.33</v>
      </c>
      <c r="D122" s="55"/>
      <c r="E122" s="55"/>
      <c r="F122" s="85"/>
    </row>
    <row r="123" spans="1:7" ht="15" customHeight="1" x14ac:dyDescent="0.25">
      <c r="A123" s="55"/>
      <c r="B123" s="89" t="s">
        <v>66</v>
      </c>
      <c r="C123" s="91">
        <f>C122*8/7</f>
        <v>6.0914285714285716</v>
      </c>
      <c r="D123" s="90">
        <f>D120/220*0.2</f>
        <v>1.7547181818181821</v>
      </c>
      <c r="E123" s="90">
        <f>C123*D123</f>
        <v>10.688740467532469</v>
      </c>
      <c r="F123" s="85"/>
    </row>
    <row r="124" spans="1:7" ht="15" customHeight="1" x14ac:dyDescent="0.25">
      <c r="A124" s="55" t="s">
        <v>51</v>
      </c>
      <c r="B124" s="89" t="s">
        <v>52</v>
      </c>
      <c r="C124" s="89">
        <v>0</v>
      </c>
      <c r="D124" s="90">
        <f>D120/220*2</f>
        <v>17.547181818181819</v>
      </c>
      <c r="E124" s="90">
        <f>C124*D124</f>
        <v>0</v>
      </c>
      <c r="F124" s="85"/>
    </row>
    <row r="125" spans="1:7" ht="15" customHeight="1" x14ac:dyDescent="0.25">
      <c r="A125" s="55" t="s">
        <v>67</v>
      </c>
      <c r="B125" s="89" t="s">
        <v>65</v>
      </c>
      <c r="C125" s="89">
        <v>7.33</v>
      </c>
      <c r="D125" s="90"/>
      <c r="E125" s="90"/>
      <c r="F125" s="85"/>
    </row>
    <row r="126" spans="1:7" ht="15" customHeight="1" x14ac:dyDescent="0.25">
      <c r="A126" s="55"/>
      <c r="B126" s="89" t="s">
        <v>66</v>
      </c>
      <c r="C126" s="91">
        <f>C125*8/7</f>
        <v>8.3771428571428572</v>
      </c>
      <c r="D126" s="90">
        <f>D120/220*2*1.2</f>
        <v>21.056618181818184</v>
      </c>
      <c r="E126" s="90">
        <f>C126*D126</f>
        <v>176.39429859740261</v>
      </c>
      <c r="F126" s="85"/>
    </row>
    <row r="127" spans="1:7" ht="15" customHeight="1" x14ac:dyDescent="0.25">
      <c r="A127" s="55" t="s">
        <v>53</v>
      </c>
      <c r="B127" s="89" t="s">
        <v>52</v>
      </c>
      <c r="C127" s="89">
        <v>0</v>
      </c>
      <c r="D127" s="90">
        <f>D120/220*1.5</f>
        <v>13.160386363636364</v>
      </c>
      <c r="E127" s="90">
        <f>C127*D127</f>
        <v>0</v>
      </c>
      <c r="F127" s="85"/>
    </row>
    <row r="128" spans="1:7" ht="15" customHeight="1" x14ac:dyDescent="0.25">
      <c r="A128" s="55" t="s">
        <v>68</v>
      </c>
      <c r="B128" s="89" t="s">
        <v>65</v>
      </c>
      <c r="C128" s="89">
        <v>6.6</v>
      </c>
      <c r="D128" s="90"/>
      <c r="E128" s="90"/>
      <c r="F128" s="85"/>
    </row>
    <row r="129" spans="1:7" ht="15" customHeight="1" x14ac:dyDescent="0.25">
      <c r="A129" s="55"/>
      <c r="B129" s="89" t="s">
        <v>66</v>
      </c>
      <c r="C129" s="91">
        <f>C128*8/7</f>
        <v>7.5428571428571427</v>
      </c>
      <c r="D129" s="90">
        <f>D120/220*1.5*1.2</f>
        <v>15.792463636363637</v>
      </c>
      <c r="E129" s="90">
        <f>C129*D129</f>
        <v>119.12029714285714</v>
      </c>
      <c r="F129" s="85"/>
    </row>
    <row r="130" spans="1:7" ht="15" customHeight="1" x14ac:dyDescent="0.25">
      <c r="A130" s="55" t="s">
        <v>54</v>
      </c>
      <c r="B130" s="89" t="s">
        <v>55</v>
      </c>
      <c r="C130" s="81"/>
      <c r="D130" s="90">
        <f>63/302*(SUM(E124:E129))</f>
        <v>61.647084541842275</v>
      </c>
      <c r="E130" s="90">
        <f>D130</f>
        <v>61.647084541842275</v>
      </c>
      <c r="F130" s="85"/>
    </row>
    <row r="131" spans="1:7" ht="15" customHeight="1" x14ac:dyDescent="0.25">
      <c r="A131" s="55" t="s">
        <v>72</v>
      </c>
      <c r="B131" s="89"/>
      <c r="C131" s="89">
        <v>2</v>
      </c>
      <c r="D131" s="90"/>
      <c r="E131" s="90"/>
      <c r="F131" s="85"/>
    </row>
    <row r="132" spans="1:7" ht="15" customHeight="1" x14ac:dyDescent="0.25">
      <c r="A132" s="55" t="s">
        <v>56</v>
      </c>
      <c r="B132" s="89" t="s">
        <v>5</v>
      </c>
      <c r="C132" s="96">
        <f>+C111</f>
        <v>40</v>
      </c>
      <c r="D132" s="90">
        <f>IF(C131=2,SUM(E120:E130),IF(C131=1,SUM(E120:E130)*D121/D120,0))</f>
        <v>2298.040420749634</v>
      </c>
      <c r="E132" s="90">
        <f>C132*D132/100</f>
        <v>919.21616829985362</v>
      </c>
      <c r="F132" s="85"/>
    </row>
    <row r="133" spans="1:7" s="20" customFormat="1" ht="15" customHeight="1" x14ac:dyDescent="0.25">
      <c r="A133" s="92" t="s">
        <v>57</v>
      </c>
      <c r="B133" s="93"/>
      <c r="C133" s="93"/>
      <c r="D133" s="94"/>
      <c r="E133" s="95">
        <f>SUM(E120:E132)</f>
        <v>3217.2565890494875</v>
      </c>
      <c r="F133" s="101"/>
      <c r="G133" s="19"/>
    </row>
    <row r="134" spans="1:7" ht="15" customHeight="1" x14ac:dyDescent="0.25">
      <c r="A134" s="55" t="s">
        <v>58</v>
      </c>
      <c r="B134" s="89" t="s">
        <v>5</v>
      </c>
      <c r="C134" s="96">
        <v>70.81</v>
      </c>
      <c r="D134" s="90">
        <f>E133</f>
        <v>3217.2565890494875</v>
      </c>
      <c r="E134" s="90">
        <f>D134*C134/100</f>
        <v>2278.1393907059419</v>
      </c>
      <c r="F134" s="85"/>
    </row>
    <row r="135" spans="1:7" s="20" customFormat="1" ht="15" customHeight="1" x14ac:dyDescent="0.25">
      <c r="A135" s="92" t="s">
        <v>73</v>
      </c>
      <c r="B135" s="93"/>
      <c r="C135" s="93"/>
      <c r="D135" s="94"/>
      <c r="E135" s="95">
        <f>E133+E134</f>
        <v>5495.3959797554289</v>
      </c>
      <c r="F135" s="101"/>
      <c r="G135" s="19"/>
    </row>
    <row r="136" spans="1:7" ht="15" customHeight="1" thickBot="1" x14ac:dyDescent="0.3">
      <c r="A136" s="104" t="s">
        <v>60</v>
      </c>
      <c r="B136" s="105" t="s">
        <v>61</v>
      </c>
      <c r="C136" s="212">
        <v>8</v>
      </c>
      <c r="D136" s="106">
        <f>E135</f>
        <v>5495.3959797554289</v>
      </c>
      <c r="E136" s="106">
        <f>C136*D136</f>
        <v>43963.167838043431</v>
      </c>
      <c r="F136" s="85"/>
    </row>
    <row r="137" spans="1:7" ht="13.5" thickBot="1" x14ac:dyDescent="0.3">
      <c r="A137" s="104"/>
      <c r="B137" s="104"/>
      <c r="C137" s="105"/>
      <c r="D137" s="107" t="s">
        <v>62</v>
      </c>
      <c r="E137" s="97">
        <f>$B$67</f>
        <v>1</v>
      </c>
      <c r="F137" s="84">
        <f>E136*E137</f>
        <v>43963.167838043431</v>
      </c>
    </row>
    <row r="138" spans="1:7" x14ac:dyDescent="0.25">
      <c r="C138" s="81"/>
      <c r="D138" s="108"/>
      <c r="E138" s="53"/>
      <c r="F138" s="109"/>
    </row>
    <row r="139" spans="1:7" ht="16.5" thickBot="1" x14ac:dyDescent="0.3">
      <c r="A139" s="63" t="s">
        <v>77</v>
      </c>
      <c r="C139" s="81"/>
      <c r="D139" s="108"/>
      <c r="E139" s="110"/>
      <c r="F139" s="109"/>
    </row>
    <row r="140" spans="1:7" ht="15" customHeight="1" thickBot="1" x14ac:dyDescent="0.3">
      <c r="A140" s="111" t="s">
        <v>44</v>
      </c>
      <c r="B140" s="112" t="s">
        <v>45</v>
      </c>
      <c r="C140" s="112" t="s">
        <v>28</v>
      </c>
      <c r="D140" s="113" t="s">
        <v>46</v>
      </c>
      <c r="E140" s="114" t="s">
        <v>47</v>
      </c>
      <c r="F140" s="114" t="s">
        <v>48</v>
      </c>
    </row>
    <row r="141" spans="1:7" ht="15" customHeight="1" x14ac:dyDescent="0.25">
      <c r="A141" s="86" t="s">
        <v>49</v>
      </c>
      <c r="B141" s="87" t="s">
        <v>50</v>
      </c>
      <c r="C141" s="87">
        <v>1</v>
      </c>
      <c r="D141" s="88">
        <v>2309.67</v>
      </c>
      <c r="E141" s="88">
        <f>C141*D141</f>
        <v>2309.67</v>
      </c>
      <c r="F141" s="109"/>
    </row>
    <row r="142" spans="1:7" ht="15" customHeight="1" x14ac:dyDescent="0.25">
      <c r="A142" s="55" t="s">
        <v>51</v>
      </c>
      <c r="B142" s="89" t="s">
        <v>52</v>
      </c>
      <c r="C142" s="87">
        <v>7.33</v>
      </c>
      <c r="D142" s="88">
        <f>D141/220*2</f>
        <v>20.997</v>
      </c>
      <c r="E142" s="90">
        <f>C142*D142</f>
        <v>153.90800999999999</v>
      </c>
      <c r="F142" s="109"/>
    </row>
    <row r="143" spans="1:7" ht="15" customHeight="1" x14ac:dyDescent="0.25">
      <c r="A143" s="55" t="s">
        <v>53</v>
      </c>
      <c r="B143" s="89" t="s">
        <v>52</v>
      </c>
      <c r="C143" s="87">
        <v>0</v>
      </c>
      <c r="D143" s="88">
        <f>D141/220*1.5</f>
        <v>15.74775</v>
      </c>
      <c r="E143" s="90">
        <f>C143*D143</f>
        <v>0</v>
      </c>
      <c r="F143" s="109"/>
    </row>
    <row r="144" spans="1:7" ht="15" customHeight="1" x14ac:dyDescent="0.25">
      <c r="A144" s="55" t="s">
        <v>54</v>
      </c>
      <c r="B144" s="89" t="s">
        <v>55</v>
      </c>
      <c r="C144" s="87"/>
      <c r="D144" s="88">
        <f>63/302*(SUM(E142:E143))</f>
        <v>32.106637847682116</v>
      </c>
      <c r="E144" s="90">
        <f>D144</f>
        <v>32.106637847682116</v>
      </c>
      <c r="F144" s="109"/>
    </row>
    <row r="145" spans="1:7" ht="15" customHeight="1" x14ac:dyDescent="0.25">
      <c r="A145" s="55" t="s">
        <v>56</v>
      </c>
      <c r="B145" s="89" t="s">
        <v>5</v>
      </c>
      <c r="C145" s="87">
        <v>40</v>
      </c>
      <c r="D145" s="88">
        <f>SUM(E141:E144)</f>
        <v>2495.6846478476823</v>
      </c>
      <c r="E145" s="90">
        <f>C145*D145/100</f>
        <v>998.2738591390729</v>
      </c>
      <c r="F145" s="109"/>
    </row>
    <row r="146" spans="1:7" ht="15" customHeight="1" x14ac:dyDescent="0.25">
      <c r="A146" s="99" t="s">
        <v>57</v>
      </c>
      <c r="B146" s="93"/>
      <c r="C146" s="89"/>
      <c r="D146" s="90"/>
      <c r="E146" s="100">
        <f>SUM(E141:E145)</f>
        <v>3493.9585069867553</v>
      </c>
      <c r="F146" s="109"/>
    </row>
    <row r="147" spans="1:7" ht="15" customHeight="1" x14ac:dyDescent="0.25">
      <c r="A147" s="55" t="s">
        <v>58</v>
      </c>
      <c r="B147" s="89" t="s">
        <v>5</v>
      </c>
      <c r="C147" s="89">
        <v>70.81</v>
      </c>
      <c r="D147" s="90">
        <f>E146</f>
        <v>3493.9585069867553</v>
      </c>
      <c r="E147" s="90">
        <f>D147*C147/100</f>
        <v>2474.0720187973216</v>
      </c>
      <c r="F147" s="109"/>
    </row>
    <row r="148" spans="1:7" ht="15" customHeight="1" x14ac:dyDescent="0.25">
      <c r="A148" s="55" t="s">
        <v>78</v>
      </c>
      <c r="B148" s="93"/>
      <c r="C148" s="89"/>
      <c r="D148" s="90"/>
      <c r="E148" s="90">
        <f>E146+E147</f>
        <v>5968.0305257840773</v>
      </c>
      <c r="F148" s="109"/>
    </row>
    <row r="149" spans="1:7" ht="15" customHeight="1" thickBot="1" x14ac:dyDescent="0.3">
      <c r="A149" s="99" t="s">
        <v>60</v>
      </c>
      <c r="B149" s="89" t="s">
        <v>61</v>
      </c>
      <c r="C149" s="89">
        <v>1</v>
      </c>
      <c r="D149" s="90">
        <f>E148</f>
        <v>5968.0305257840773</v>
      </c>
      <c r="E149" s="90">
        <f>C149*D149</f>
        <v>5968.0305257840773</v>
      </c>
      <c r="F149" s="109"/>
    </row>
    <row r="150" spans="1:7" ht="15" customHeight="1" thickBot="1" x14ac:dyDescent="0.3">
      <c r="B150" s="81"/>
      <c r="C150" s="81"/>
      <c r="D150" s="90" t="s">
        <v>62</v>
      </c>
      <c r="E150" s="115">
        <f>$B$67</f>
        <v>1</v>
      </c>
      <c r="F150" s="84">
        <f>E149*E150</f>
        <v>5968.0305257840773</v>
      </c>
      <c r="G150" s="38"/>
    </row>
    <row r="151" spans="1:7" ht="15" customHeight="1" x14ac:dyDescent="0.25">
      <c r="B151" s="81"/>
      <c r="C151" s="81"/>
      <c r="D151" s="116"/>
      <c r="E151" s="116"/>
      <c r="F151" s="109"/>
      <c r="G151" s="38"/>
    </row>
    <row r="152" spans="1:7" ht="11.25" customHeight="1" x14ac:dyDescent="0.25">
      <c r="B152" s="81"/>
      <c r="C152" s="81"/>
      <c r="D152" s="116"/>
      <c r="E152" s="116"/>
      <c r="F152" s="109"/>
      <c r="G152" s="38"/>
    </row>
    <row r="153" spans="1:7" ht="16.149999999999999" customHeight="1" thickBot="1" x14ac:dyDescent="0.3">
      <c r="A153" s="63" t="s">
        <v>7</v>
      </c>
      <c r="C153" s="81"/>
      <c r="D153" s="110"/>
      <c r="E153" s="110"/>
      <c r="F153" s="110"/>
      <c r="G153" s="38"/>
    </row>
    <row r="154" spans="1:7" ht="15" customHeight="1" thickBot="1" x14ac:dyDescent="0.3">
      <c r="A154" s="117" t="s">
        <v>44</v>
      </c>
      <c r="B154" s="118" t="s">
        <v>45</v>
      </c>
      <c r="C154" s="118" t="s">
        <v>28</v>
      </c>
      <c r="D154" s="119" t="s">
        <v>46</v>
      </c>
      <c r="E154" s="119" t="s">
        <v>47</v>
      </c>
      <c r="F154" s="120" t="s">
        <v>48</v>
      </c>
      <c r="G154" s="38"/>
    </row>
    <row r="155" spans="1:7" ht="15" customHeight="1" x14ac:dyDescent="0.25">
      <c r="A155" s="55" t="s">
        <v>49</v>
      </c>
      <c r="B155" s="89" t="s">
        <v>50</v>
      </c>
      <c r="C155" s="89">
        <v>1</v>
      </c>
      <c r="D155" s="213">
        <v>1548.59</v>
      </c>
      <c r="E155" s="41">
        <f>C155*D155</f>
        <v>1548.59</v>
      </c>
      <c r="F155" s="110"/>
      <c r="G155" s="38"/>
    </row>
    <row r="156" spans="1:7" ht="15" customHeight="1" x14ac:dyDescent="0.25">
      <c r="A156" s="55" t="s">
        <v>51</v>
      </c>
      <c r="B156" s="89" t="s">
        <v>52</v>
      </c>
      <c r="C156" s="89">
        <v>0</v>
      </c>
      <c r="D156" s="41">
        <f>D155/220*2</f>
        <v>14.078090909090909</v>
      </c>
      <c r="E156" s="41">
        <f>C156*D156</f>
        <v>0</v>
      </c>
      <c r="F156" s="110"/>
      <c r="G156" s="38"/>
    </row>
    <row r="157" spans="1:7" ht="15" customHeight="1" x14ac:dyDescent="0.25">
      <c r="A157" s="55" t="s">
        <v>53</v>
      </c>
      <c r="B157" s="89" t="s">
        <v>52</v>
      </c>
      <c r="C157" s="89">
        <v>0</v>
      </c>
      <c r="D157" s="41">
        <f>D155/220*1.5</f>
        <v>10.558568181818181</v>
      </c>
      <c r="E157" s="41">
        <f>C157*D157</f>
        <v>0</v>
      </c>
      <c r="F157" s="110"/>
      <c r="G157" s="38"/>
    </row>
    <row r="158" spans="1:7" ht="15" customHeight="1" x14ac:dyDescent="0.25">
      <c r="A158" s="55" t="s">
        <v>54</v>
      </c>
      <c r="B158" s="89" t="s">
        <v>55</v>
      </c>
      <c r="C158" s="89"/>
      <c r="D158" s="41">
        <f>63/302*(SUM(E156:E157))</f>
        <v>0</v>
      </c>
      <c r="E158" s="41">
        <f>D158</f>
        <v>0</v>
      </c>
      <c r="F158" s="110"/>
      <c r="G158" s="38"/>
    </row>
    <row r="159" spans="1:7" ht="15" customHeight="1" x14ac:dyDescent="0.25">
      <c r="A159" s="55" t="s">
        <v>56</v>
      </c>
      <c r="B159" s="89" t="s">
        <v>5</v>
      </c>
      <c r="C159" s="89">
        <v>0</v>
      </c>
      <c r="D159" s="41">
        <f>SUM(E155:E158)</f>
        <v>1548.59</v>
      </c>
      <c r="E159" s="41">
        <f>C159*D159/100</f>
        <v>0</v>
      </c>
      <c r="F159" s="110"/>
      <c r="G159" s="38"/>
    </row>
    <row r="160" spans="1:7" ht="15" customHeight="1" x14ac:dyDescent="0.25">
      <c r="A160" s="99" t="s">
        <v>57</v>
      </c>
      <c r="B160" s="55"/>
      <c r="C160" s="89"/>
      <c r="D160" s="41"/>
      <c r="E160" s="121">
        <f>SUM(E155:E159)</f>
        <v>1548.59</v>
      </c>
      <c r="F160" s="110"/>
      <c r="G160" s="38"/>
    </row>
    <row r="161" spans="1:7" ht="15" customHeight="1" x14ac:dyDescent="0.25">
      <c r="A161" s="55" t="s">
        <v>58</v>
      </c>
      <c r="B161" s="89" t="s">
        <v>5</v>
      </c>
      <c r="C161" s="89">
        <v>70.81</v>
      </c>
      <c r="D161" s="41">
        <f>E160</f>
        <v>1548.59</v>
      </c>
      <c r="E161" s="41">
        <f>D161*C161/100</f>
        <v>1096.5565789999998</v>
      </c>
      <c r="F161" s="110"/>
      <c r="G161" s="38"/>
    </row>
    <row r="162" spans="1:7" ht="15" customHeight="1" x14ac:dyDescent="0.25">
      <c r="A162" s="55" t="s">
        <v>79</v>
      </c>
      <c r="B162" s="55"/>
      <c r="C162" s="89"/>
      <c r="D162" s="41"/>
      <c r="E162" s="121">
        <f>E160+E161</f>
        <v>2645.1465789999997</v>
      </c>
      <c r="F162" s="110"/>
      <c r="G162" s="38"/>
    </row>
    <row r="163" spans="1:7" ht="15" customHeight="1" thickBot="1" x14ac:dyDescent="0.3">
      <c r="A163" s="99" t="s">
        <v>60</v>
      </c>
      <c r="B163" s="89" t="s">
        <v>61</v>
      </c>
      <c r="C163" s="89">
        <v>2</v>
      </c>
      <c r="D163" s="41">
        <f>E162</f>
        <v>2645.1465789999997</v>
      </c>
      <c r="E163" s="41">
        <f>C163*D163</f>
        <v>5290.2931579999995</v>
      </c>
      <c r="F163" s="110"/>
      <c r="G163" s="38"/>
    </row>
    <row r="164" spans="1:7" ht="15" customHeight="1" thickBot="1" x14ac:dyDescent="0.3">
      <c r="D164" s="41" t="s">
        <v>62</v>
      </c>
      <c r="E164" s="97">
        <f>$B$67</f>
        <v>1</v>
      </c>
      <c r="F164" s="122">
        <f>E163*E164</f>
        <v>5290.2931579999995</v>
      </c>
      <c r="G164" s="38"/>
    </row>
    <row r="165" spans="1:7" ht="11.25" customHeight="1" x14ac:dyDescent="0.25">
      <c r="D165" s="110"/>
      <c r="E165" s="110"/>
      <c r="F165" s="123"/>
      <c r="G165" s="38"/>
    </row>
    <row r="166" spans="1:7" ht="11.25" customHeight="1" x14ac:dyDescent="0.25">
      <c r="D166" s="53"/>
      <c r="E166" s="53"/>
      <c r="F166" s="123"/>
      <c r="G166" s="38"/>
    </row>
    <row r="167" spans="1:7" ht="16.149999999999999" customHeight="1" thickBot="1" x14ac:dyDescent="0.3">
      <c r="A167" s="63" t="s">
        <v>80</v>
      </c>
      <c r="D167" s="110"/>
      <c r="E167" s="110"/>
      <c r="F167" s="123"/>
      <c r="G167" s="38"/>
    </row>
    <row r="168" spans="1:7" ht="11.25" customHeight="1" thickBot="1" x14ac:dyDescent="0.3">
      <c r="A168" s="117" t="s">
        <v>44</v>
      </c>
      <c r="B168" s="118" t="s">
        <v>45</v>
      </c>
      <c r="C168" s="118" t="s">
        <v>28</v>
      </c>
      <c r="D168" s="119" t="s">
        <v>46</v>
      </c>
      <c r="E168" s="119" t="s">
        <v>47</v>
      </c>
      <c r="F168" s="120" t="s">
        <v>48</v>
      </c>
      <c r="G168" s="38"/>
    </row>
    <row r="169" spans="1:7" ht="15" customHeight="1" x14ac:dyDescent="0.25">
      <c r="A169" s="55" t="s">
        <v>49</v>
      </c>
      <c r="B169" s="89" t="s">
        <v>50</v>
      </c>
      <c r="C169" s="89">
        <v>1</v>
      </c>
      <c r="D169" s="41">
        <v>2309.67</v>
      </c>
      <c r="E169" s="41">
        <f>C169*D169</f>
        <v>2309.67</v>
      </c>
      <c r="F169" s="110"/>
      <c r="G169" s="38"/>
    </row>
    <row r="170" spans="1:7" ht="15" customHeight="1" x14ac:dyDescent="0.25">
      <c r="A170" s="55" t="s">
        <v>51</v>
      </c>
      <c r="B170" s="89" t="s">
        <v>52</v>
      </c>
      <c r="C170" s="89">
        <v>7.33</v>
      </c>
      <c r="D170" s="41">
        <f>D169/220*2</f>
        <v>20.997</v>
      </c>
      <c r="E170" s="41">
        <f>C170*D170</f>
        <v>153.90800999999999</v>
      </c>
      <c r="F170" s="110"/>
      <c r="G170" s="38"/>
    </row>
    <row r="171" spans="1:7" ht="15" customHeight="1" x14ac:dyDescent="0.25">
      <c r="A171" s="55" t="s">
        <v>53</v>
      </c>
      <c r="B171" s="89" t="s">
        <v>52</v>
      </c>
      <c r="C171" s="89">
        <v>8</v>
      </c>
      <c r="D171" s="41">
        <f>D169/220*1.5</f>
        <v>15.74775</v>
      </c>
      <c r="E171" s="41">
        <f>C171*D171</f>
        <v>125.982</v>
      </c>
      <c r="F171" s="110"/>
      <c r="G171" s="38"/>
    </row>
    <row r="172" spans="1:7" ht="15" customHeight="1" x14ac:dyDescent="0.25">
      <c r="A172" s="55" t="s">
        <v>54</v>
      </c>
      <c r="B172" s="89" t="s">
        <v>55</v>
      </c>
      <c r="C172" s="89"/>
      <c r="D172" s="41">
        <f>63/302*(SUM(E170:E171))</f>
        <v>58.387651092715224</v>
      </c>
      <c r="E172" s="41">
        <f>D172</f>
        <v>58.387651092715224</v>
      </c>
      <c r="F172" s="110"/>
      <c r="G172" s="38"/>
    </row>
    <row r="173" spans="1:7" ht="15" customHeight="1" x14ac:dyDescent="0.25">
      <c r="A173" s="55" t="s">
        <v>56</v>
      </c>
      <c r="B173" s="89" t="s">
        <v>5</v>
      </c>
      <c r="C173" s="89">
        <v>0</v>
      </c>
      <c r="D173" s="41">
        <f>SUM(E169:E172)</f>
        <v>2647.9476610927154</v>
      </c>
      <c r="E173" s="41">
        <f>C173*D173/100</f>
        <v>0</v>
      </c>
      <c r="F173" s="110"/>
      <c r="G173" s="38"/>
    </row>
    <row r="174" spans="1:7" ht="15" customHeight="1" x14ac:dyDescent="0.25">
      <c r="A174" s="99" t="s">
        <v>57</v>
      </c>
      <c r="B174" s="55"/>
      <c r="C174" s="89"/>
      <c r="D174" s="41"/>
      <c r="E174" s="121">
        <f>SUM(E169:E173)</f>
        <v>2647.9476610927154</v>
      </c>
      <c r="F174" s="110"/>
      <c r="G174" s="38"/>
    </row>
    <row r="175" spans="1:7" ht="15" customHeight="1" x14ac:dyDescent="0.25">
      <c r="A175" s="55" t="s">
        <v>58</v>
      </c>
      <c r="B175" s="89" t="s">
        <v>5</v>
      </c>
      <c r="C175" s="89">
        <v>70.81</v>
      </c>
      <c r="D175" s="41">
        <f>E174</f>
        <v>2647.9476610927154</v>
      </c>
      <c r="E175" s="41">
        <f>D175*C175/100</f>
        <v>1875.0117388197518</v>
      </c>
      <c r="F175" s="110"/>
      <c r="G175" s="38"/>
    </row>
    <row r="176" spans="1:7" ht="15" customHeight="1" x14ac:dyDescent="0.25">
      <c r="A176" s="55" t="s">
        <v>81</v>
      </c>
      <c r="B176" s="55"/>
      <c r="C176" s="89"/>
      <c r="D176" s="41"/>
      <c r="E176" s="121">
        <f>E174+E175</f>
        <v>4522.9593999124672</v>
      </c>
      <c r="F176" s="110"/>
      <c r="G176" s="38"/>
    </row>
    <row r="177" spans="1:7" ht="15" customHeight="1" thickBot="1" x14ac:dyDescent="0.3">
      <c r="A177" s="99" t="s">
        <v>60</v>
      </c>
      <c r="B177" s="89" t="s">
        <v>61</v>
      </c>
      <c r="C177" s="89">
        <v>1</v>
      </c>
      <c r="D177" s="41">
        <f>E176</f>
        <v>4522.9593999124672</v>
      </c>
      <c r="E177" s="41">
        <f>C177*D177</f>
        <v>4522.9593999124672</v>
      </c>
      <c r="F177" s="110"/>
      <c r="G177" s="38"/>
    </row>
    <row r="178" spans="1:7" ht="15" customHeight="1" thickBot="1" x14ac:dyDescent="0.3">
      <c r="D178" s="41" t="s">
        <v>62</v>
      </c>
      <c r="E178" s="97">
        <f>$B$67</f>
        <v>1</v>
      </c>
      <c r="F178" s="122">
        <f>E177*E178</f>
        <v>4522.9593999124672</v>
      </c>
      <c r="G178" s="38"/>
    </row>
    <row r="179" spans="1:7" ht="11.25" customHeight="1" x14ac:dyDescent="0.25">
      <c r="C179" s="81"/>
      <c r="D179" s="53"/>
      <c r="E179" s="53"/>
      <c r="F179" s="123"/>
      <c r="G179" s="38"/>
    </row>
    <row r="180" spans="1:7" ht="16.149999999999999" customHeight="1" thickBot="1" x14ac:dyDescent="0.3">
      <c r="A180" s="63" t="s">
        <v>9</v>
      </c>
      <c r="C180" s="81"/>
      <c r="D180" s="53"/>
      <c r="E180" s="53"/>
      <c r="F180" s="123"/>
      <c r="G180" s="38"/>
    </row>
    <row r="181" spans="1:7" ht="15" customHeight="1" thickBot="1" x14ac:dyDescent="0.3">
      <c r="A181" s="124" t="s">
        <v>44</v>
      </c>
      <c r="B181" s="125" t="s">
        <v>45</v>
      </c>
      <c r="C181" s="125" t="s">
        <v>28</v>
      </c>
      <c r="D181" s="126" t="s">
        <v>46</v>
      </c>
      <c r="E181" s="126" t="s">
        <v>47</v>
      </c>
      <c r="F181" s="67" t="s">
        <v>48</v>
      </c>
      <c r="G181" s="38"/>
    </row>
    <row r="182" spans="1:7" ht="15" customHeight="1" x14ac:dyDescent="0.25">
      <c r="A182" s="55" t="s">
        <v>49</v>
      </c>
      <c r="B182" s="89" t="s">
        <v>50</v>
      </c>
      <c r="C182" s="89">
        <v>1</v>
      </c>
      <c r="D182" s="41">
        <v>2309.67</v>
      </c>
      <c r="E182" s="41">
        <f>C182*D182</f>
        <v>2309.67</v>
      </c>
      <c r="F182" s="110"/>
      <c r="G182" s="38"/>
    </row>
    <row r="183" spans="1:7" ht="15" customHeight="1" x14ac:dyDescent="0.25">
      <c r="A183" s="55" t="s">
        <v>82</v>
      </c>
      <c r="B183" s="89" t="s">
        <v>50</v>
      </c>
      <c r="C183" s="89">
        <v>1</v>
      </c>
      <c r="D183" s="41">
        <v>1100</v>
      </c>
      <c r="E183" s="41"/>
      <c r="F183" s="110"/>
      <c r="G183" s="38"/>
    </row>
    <row r="184" spans="1:7" ht="15" customHeight="1" x14ac:dyDescent="0.25">
      <c r="A184" s="55" t="s">
        <v>64</v>
      </c>
      <c r="B184" s="89" t="s">
        <v>83</v>
      </c>
      <c r="C184" s="89">
        <v>5.33</v>
      </c>
      <c r="D184" s="41"/>
      <c r="E184" s="41"/>
      <c r="F184" s="110"/>
      <c r="G184" s="38"/>
    </row>
    <row r="185" spans="1:7" ht="15" customHeight="1" x14ac:dyDescent="0.25">
      <c r="A185" s="55"/>
      <c r="B185" s="89" t="s">
        <v>84</v>
      </c>
      <c r="C185" s="127">
        <f>C184*8/7</f>
        <v>6.0914285714285716</v>
      </c>
      <c r="D185" s="41">
        <f>D182/220*0.2</f>
        <v>2.0996999999999999</v>
      </c>
      <c r="E185" s="41">
        <f>C185*D185</f>
        <v>12.790172571428572</v>
      </c>
      <c r="F185" s="110"/>
      <c r="G185" s="38"/>
    </row>
    <row r="186" spans="1:7" ht="15" customHeight="1" x14ac:dyDescent="0.25">
      <c r="A186" s="55" t="s">
        <v>51</v>
      </c>
      <c r="B186" s="89" t="s">
        <v>52</v>
      </c>
      <c r="C186" s="89">
        <v>0</v>
      </c>
      <c r="D186" s="41">
        <f>D182/220*2</f>
        <v>20.997</v>
      </c>
      <c r="E186" s="41">
        <f>C186*D186</f>
        <v>0</v>
      </c>
      <c r="F186" s="110"/>
      <c r="G186" s="38"/>
    </row>
    <row r="187" spans="1:7" ht="15" customHeight="1" x14ac:dyDescent="0.25">
      <c r="A187" s="55" t="s">
        <v>67</v>
      </c>
      <c r="B187" s="89" t="s">
        <v>85</v>
      </c>
      <c r="C187" s="89">
        <v>7.33</v>
      </c>
      <c r="D187" s="41"/>
      <c r="E187" s="41"/>
      <c r="F187" s="110"/>
      <c r="G187" s="38"/>
    </row>
    <row r="188" spans="1:7" ht="15" customHeight="1" x14ac:dyDescent="0.25">
      <c r="A188" s="55"/>
      <c r="B188" s="89" t="s">
        <v>66</v>
      </c>
      <c r="C188" s="127">
        <f>C187*8/7</f>
        <v>8.3771428571428572</v>
      </c>
      <c r="D188" s="41">
        <f>D182/220*2*1.2</f>
        <v>25.196400000000001</v>
      </c>
      <c r="E188" s="41">
        <f>C188*D188</f>
        <v>211.07384228571431</v>
      </c>
      <c r="F188" s="110"/>
      <c r="G188" s="38"/>
    </row>
    <row r="189" spans="1:7" ht="15" customHeight="1" x14ac:dyDescent="0.25">
      <c r="A189" s="55" t="s">
        <v>53</v>
      </c>
      <c r="B189" s="89" t="s">
        <v>52</v>
      </c>
      <c r="C189" s="89">
        <v>0</v>
      </c>
      <c r="D189" s="41">
        <f>D182/220*1.5</f>
        <v>15.74775</v>
      </c>
      <c r="E189" s="41">
        <f>C189*D189</f>
        <v>0</v>
      </c>
      <c r="F189" s="110"/>
      <c r="G189" s="38"/>
    </row>
    <row r="190" spans="1:7" ht="15" customHeight="1" x14ac:dyDescent="0.25">
      <c r="A190" s="55" t="s">
        <v>68</v>
      </c>
      <c r="B190" s="89" t="s">
        <v>85</v>
      </c>
      <c r="C190" s="89">
        <v>8</v>
      </c>
      <c r="D190" s="41"/>
      <c r="E190" s="41"/>
      <c r="F190" s="110"/>
      <c r="G190" s="38"/>
    </row>
    <row r="191" spans="1:7" ht="15" customHeight="1" x14ac:dyDescent="0.25">
      <c r="A191" s="55"/>
      <c r="B191" s="89" t="s">
        <v>84</v>
      </c>
      <c r="C191" s="127">
        <f>C190*8/7</f>
        <v>9.1428571428571423</v>
      </c>
      <c r="D191" s="41">
        <f>D182/220*1.5*1.2</f>
        <v>18.897299999999998</v>
      </c>
      <c r="E191" s="41">
        <f>C191*D191</f>
        <v>172.77531428571424</v>
      </c>
      <c r="F191" s="110"/>
      <c r="G191" s="38"/>
    </row>
    <row r="192" spans="1:7" ht="15" customHeight="1" x14ac:dyDescent="0.25">
      <c r="A192" s="55" t="s">
        <v>54</v>
      </c>
      <c r="B192" s="89" t="s">
        <v>55</v>
      </c>
      <c r="C192" s="89"/>
      <c r="D192" s="41">
        <f>63/302*(SUM(E186:E191))</f>
        <v>80.07449292715232</v>
      </c>
      <c r="E192" s="41">
        <f>D192</f>
        <v>80.07449292715232</v>
      </c>
      <c r="F192" s="110"/>
      <c r="G192" s="38"/>
    </row>
    <row r="193" spans="1:7" ht="15" customHeight="1" x14ac:dyDescent="0.25">
      <c r="A193" s="55" t="s">
        <v>86</v>
      </c>
      <c r="B193" s="89"/>
      <c r="C193" s="89">
        <v>2</v>
      </c>
      <c r="D193" s="41"/>
      <c r="E193" s="41"/>
      <c r="F193" s="110"/>
      <c r="G193" s="38"/>
    </row>
    <row r="194" spans="1:7" ht="15" customHeight="1" x14ac:dyDescent="0.25">
      <c r="A194" s="55" t="s">
        <v>56</v>
      </c>
      <c r="B194" s="89" t="s">
        <v>5</v>
      </c>
      <c r="C194" s="89">
        <v>0</v>
      </c>
      <c r="D194" s="41">
        <f>IF(C193=2,SUM(E182:E192),IF(C193=1,SUM(E182:E192)*D183/D182,0))</f>
        <v>2786.3838220700095</v>
      </c>
      <c r="E194" s="41">
        <f>C194*D194/100</f>
        <v>0</v>
      </c>
      <c r="F194" s="110"/>
      <c r="G194" s="38"/>
    </row>
    <row r="195" spans="1:7" ht="15" customHeight="1" x14ac:dyDescent="0.25">
      <c r="A195" s="55" t="s">
        <v>57</v>
      </c>
      <c r="B195" s="55"/>
      <c r="C195" s="89"/>
      <c r="D195" s="41"/>
      <c r="E195" s="121">
        <f>SUM(E182:E194)</f>
        <v>2786.3838220700095</v>
      </c>
      <c r="F195" s="110"/>
      <c r="G195" s="38"/>
    </row>
    <row r="196" spans="1:7" ht="15" customHeight="1" x14ac:dyDescent="0.25">
      <c r="A196" s="55" t="s">
        <v>58</v>
      </c>
      <c r="B196" s="89" t="s">
        <v>5</v>
      </c>
      <c r="C196" s="89">
        <v>70.81</v>
      </c>
      <c r="D196" s="41">
        <f>E195</f>
        <v>2786.3838220700095</v>
      </c>
      <c r="E196" s="41">
        <f>D196*C196/100</f>
        <v>1973.0383844077739</v>
      </c>
      <c r="F196" s="110"/>
      <c r="G196" s="38"/>
    </row>
    <row r="197" spans="1:7" ht="15" customHeight="1" x14ac:dyDescent="0.25">
      <c r="A197" s="55" t="s">
        <v>87</v>
      </c>
      <c r="B197" s="55"/>
      <c r="C197" s="55"/>
      <c r="D197" s="41"/>
      <c r="E197" s="121">
        <f>E195+E196</f>
        <v>4759.4222064777832</v>
      </c>
      <c r="F197" s="110"/>
      <c r="G197" s="38"/>
    </row>
    <row r="198" spans="1:7" ht="15" customHeight="1" thickBot="1" x14ac:dyDescent="0.3">
      <c r="A198" s="55" t="s">
        <v>60</v>
      </c>
      <c r="B198" s="89" t="s">
        <v>61</v>
      </c>
      <c r="C198" s="89">
        <v>1</v>
      </c>
      <c r="D198" s="41">
        <f>E197</f>
        <v>4759.4222064777832</v>
      </c>
      <c r="E198" s="41">
        <f>C198*D198</f>
        <v>4759.4222064777832</v>
      </c>
      <c r="F198" s="110"/>
      <c r="G198" s="38"/>
    </row>
    <row r="199" spans="1:7" ht="15" customHeight="1" thickBot="1" x14ac:dyDescent="0.3">
      <c r="D199" s="41" t="s">
        <v>88</v>
      </c>
      <c r="E199" s="97">
        <v>1</v>
      </c>
      <c r="F199" s="122">
        <f>E198*E199</f>
        <v>4759.4222064777832</v>
      </c>
      <c r="G199" s="38"/>
    </row>
    <row r="200" spans="1:7" ht="11.25" customHeight="1" x14ac:dyDescent="0.25">
      <c r="D200" s="110"/>
      <c r="E200" s="110"/>
      <c r="F200" s="123"/>
      <c r="G200" s="38"/>
    </row>
    <row r="201" spans="1:7" ht="16.149999999999999" customHeight="1" thickBot="1" x14ac:dyDescent="0.3">
      <c r="A201" s="63" t="s">
        <v>10</v>
      </c>
      <c r="D201" s="110"/>
      <c r="E201" s="110"/>
      <c r="F201" s="123"/>
      <c r="G201" s="38"/>
    </row>
    <row r="202" spans="1:7" ht="15" customHeight="1" thickBot="1" x14ac:dyDescent="0.3">
      <c r="A202" s="117" t="s">
        <v>44</v>
      </c>
      <c r="B202" s="118" t="s">
        <v>45</v>
      </c>
      <c r="C202" s="118" t="s">
        <v>28</v>
      </c>
      <c r="D202" s="119" t="s">
        <v>46</v>
      </c>
      <c r="E202" s="119" t="s">
        <v>47</v>
      </c>
      <c r="F202" s="120" t="s">
        <v>48</v>
      </c>
      <c r="G202" s="38"/>
    </row>
    <row r="203" spans="1:7" ht="15" customHeight="1" x14ac:dyDescent="0.25">
      <c r="A203" s="55" t="s">
        <v>49</v>
      </c>
      <c r="B203" s="89" t="s">
        <v>50</v>
      </c>
      <c r="C203" s="89">
        <v>1</v>
      </c>
      <c r="D203" s="41">
        <v>1904.41</v>
      </c>
      <c r="E203" s="41">
        <f>C203*D203</f>
        <v>1904.41</v>
      </c>
      <c r="F203" s="110"/>
      <c r="G203" s="38"/>
    </row>
    <row r="204" spans="1:7" ht="15" customHeight="1" x14ac:dyDescent="0.25">
      <c r="A204" s="55" t="s">
        <v>51</v>
      </c>
      <c r="B204" s="89" t="s">
        <v>52</v>
      </c>
      <c r="C204" s="89">
        <v>7.33</v>
      </c>
      <c r="D204" s="41">
        <f>D203/220*2</f>
        <v>17.312818181818184</v>
      </c>
      <c r="E204" s="41">
        <f>C204*D204</f>
        <v>126.90295727272729</v>
      </c>
      <c r="F204" s="110"/>
      <c r="G204" s="38"/>
    </row>
    <row r="205" spans="1:7" ht="15" customHeight="1" x14ac:dyDescent="0.25">
      <c r="A205" s="55" t="s">
        <v>53</v>
      </c>
      <c r="B205" s="89" t="s">
        <v>52</v>
      </c>
      <c r="C205" s="89">
        <v>0</v>
      </c>
      <c r="D205" s="41">
        <f>D203/220*1.5</f>
        <v>12.984613636363637</v>
      </c>
      <c r="E205" s="41">
        <f>C205*D205</f>
        <v>0</v>
      </c>
      <c r="F205" s="110"/>
      <c r="G205" s="38"/>
    </row>
    <row r="206" spans="1:7" ht="15" customHeight="1" x14ac:dyDescent="0.25">
      <c r="A206" s="55" t="s">
        <v>54</v>
      </c>
      <c r="B206" s="89" t="s">
        <v>55</v>
      </c>
      <c r="C206" s="89"/>
      <c r="D206" s="41">
        <f>63/302*(SUM(E204:E205))</f>
        <v>26.473133470800729</v>
      </c>
      <c r="E206" s="41">
        <f>D206</f>
        <v>26.473133470800729</v>
      </c>
      <c r="F206" s="110"/>
      <c r="G206" s="38"/>
    </row>
    <row r="207" spans="1:7" ht="15" customHeight="1" x14ac:dyDescent="0.25">
      <c r="A207" s="55" t="s">
        <v>56</v>
      </c>
      <c r="B207" s="89" t="s">
        <v>5</v>
      </c>
      <c r="C207" s="89">
        <v>40</v>
      </c>
      <c r="D207" s="41">
        <f>SUM(E203:E206)</f>
        <v>2057.7860907435279</v>
      </c>
      <c r="E207" s="41">
        <f>C207*D207/100</f>
        <v>823.1144362974112</v>
      </c>
      <c r="F207" s="110"/>
      <c r="G207" s="38"/>
    </row>
    <row r="208" spans="1:7" ht="15" customHeight="1" x14ac:dyDescent="0.25">
      <c r="A208" s="99" t="s">
        <v>57</v>
      </c>
      <c r="B208" s="55"/>
      <c r="C208" s="89"/>
      <c r="D208" s="41"/>
      <c r="E208" s="121">
        <f>SUM(E203:E207)</f>
        <v>2880.9005270409389</v>
      </c>
      <c r="F208" s="110"/>
      <c r="G208" s="38"/>
    </row>
    <row r="209" spans="1:7" ht="15" customHeight="1" x14ac:dyDescent="0.25">
      <c r="A209" s="55" t="s">
        <v>58</v>
      </c>
      <c r="B209" s="89" t="s">
        <v>5</v>
      </c>
      <c r="C209" s="89">
        <v>70.81</v>
      </c>
      <c r="D209" s="41">
        <f>E208</f>
        <v>2880.9005270409389</v>
      </c>
      <c r="E209" s="41">
        <f>D209*C209/100</f>
        <v>2039.9656631976891</v>
      </c>
      <c r="F209" s="110"/>
      <c r="G209" s="38"/>
    </row>
    <row r="210" spans="1:7" ht="15" customHeight="1" x14ac:dyDescent="0.25">
      <c r="A210" s="55" t="s">
        <v>89</v>
      </c>
      <c r="B210" s="55"/>
      <c r="C210" s="89"/>
      <c r="D210" s="41"/>
      <c r="E210" s="121">
        <f>E208+E209</f>
        <v>4920.8661902386284</v>
      </c>
      <c r="F210" s="110"/>
      <c r="G210" s="38"/>
    </row>
    <row r="211" spans="1:7" ht="15" customHeight="1" thickBot="1" x14ac:dyDescent="0.3">
      <c r="A211" s="99" t="s">
        <v>60</v>
      </c>
      <c r="B211" s="89" t="s">
        <v>61</v>
      </c>
      <c r="C211" s="89">
        <v>1</v>
      </c>
      <c r="D211" s="41">
        <f>E210</f>
        <v>4920.8661902386284</v>
      </c>
      <c r="E211" s="41">
        <f>C211*D211</f>
        <v>4920.8661902386284</v>
      </c>
      <c r="F211" s="110"/>
      <c r="G211" s="38"/>
    </row>
    <row r="212" spans="1:7" ht="15" customHeight="1" thickBot="1" x14ac:dyDescent="0.3">
      <c r="C212" s="81"/>
      <c r="D212" s="41" t="s">
        <v>62</v>
      </c>
      <c r="E212" s="97">
        <f>$B$67</f>
        <v>1</v>
      </c>
      <c r="F212" s="122">
        <f>E211*E212</f>
        <v>4920.8661902386284</v>
      </c>
      <c r="G212" s="38"/>
    </row>
    <row r="213" spans="1:7" ht="11.25" customHeight="1" x14ac:dyDescent="0.25">
      <c r="C213" s="81"/>
      <c r="D213" s="53"/>
      <c r="E213" s="53"/>
      <c r="F213" s="123"/>
      <c r="G213" s="38"/>
    </row>
    <row r="214" spans="1:7" ht="16.149999999999999" customHeight="1" thickBot="1" x14ac:dyDescent="0.3">
      <c r="A214" s="63" t="s">
        <v>11</v>
      </c>
      <c r="C214" s="81"/>
      <c r="D214" s="53"/>
      <c r="E214" s="53"/>
      <c r="F214" s="123"/>
      <c r="G214" s="38"/>
    </row>
    <row r="215" spans="1:7" ht="15" customHeight="1" thickBot="1" x14ac:dyDescent="0.3">
      <c r="A215" s="124" t="s">
        <v>44</v>
      </c>
      <c r="B215" s="125" t="s">
        <v>45</v>
      </c>
      <c r="C215" s="125" t="s">
        <v>28</v>
      </c>
      <c r="D215" s="126" t="s">
        <v>46</v>
      </c>
      <c r="E215" s="126" t="s">
        <v>47</v>
      </c>
      <c r="F215" s="67" t="s">
        <v>48</v>
      </c>
      <c r="G215" s="38"/>
    </row>
    <row r="216" spans="1:7" ht="15" customHeight="1" x14ac:dyDescent="0.25">
      <c r="A216" s="55" t="s">
        <v>49</v>
      </c>
      <c r="B216" s="89" t="s">
        <v>50</v>
      </c>
      <c r="C216" s="89">
        <v>1</v>
      </c>
      <c r="D216" s="41">
        <v>1904.41</v>
      </c>
      <c r="E216" s="41">
        <f>C216*D216</f>
        <v>1904.41</v>
      </c>
      <c r="F216" s="110"/>
      <c r="G216" s="38"/>
    </row>
    <row r="217" spans="1:7" ht="15" customHeight="1" x14ac:dyDescent="0.25">
      <c r="A217" s="55" t="s">
        <v>82</v>
      </c>
      <c r="B217" s="89" t="s">
        <v>55</v>
      </c>
      <c r="C217" s="89">
        <v>1</v>
      </c>
      <c r="D217" s="41">
        <v>1100</v>
      </c>
      <c r="E217" s="41"/>
      <c r="F217" s="110"/>
      <c r="G217" s="38"/>
    </row>
    <row r="218" spans="1:7" ht="15" customHeight="1" x14ac:dyDescent="0.25">
      <c r="A218" s="55" t="s">
        <v>64</v>
      </c>
      <c r="B218" s="89" t="s">
        <v>83</v>
      </c>
      <c r="C218" s="89">
        <v>5.33</v>
      </c>
      <c r="D218" s="41"/>
      <c r="E218" s="41"/>
      <c r="F218" s="110"/>
      <c r="G218" s="38"/>
    </row>
    <row r="219" spans="1:7" ht="15" customHeight="1" x14ac:dyDescent="0.25">
      <c r="A219" s="55"/>
      <c r="B219" s="89" t="s">
        <v>84</v>
      </c>
      <c r="C219" s="127">
        <f>C218*8/7</f>
        <v>6.0914285714285716</v>
      </c>
      <c r="D219" s="41">
        <f>D216/220*0.2</f>
        <v>1.7312818181818184</v>
      </c>
      <c r="E219" s="41">
        <f>C219*D219</f>
        <v>10.545979532467534</v>
      </c>
      <c r="F219" s="110"/>
      <c r="G219" s="38"/>
    </row>
    <row r="220" spans="1:7" ht="15" customHeight="1" x14ac:dyDescent="0.25">
      <c r="A220" s="55" t="s">
        <v>51</v>
      </c>
      <c r="B220" s="89" t="s">
        <v>52</v>
      </c>
      <c r="C220" s="89">
        <v>0</v>
      </c>
      <c r="D220" s="41">
        <f>D216/220*2</f>
        <v>17.312818181818184</v>
      </c>
      <c r="E220" s="41">
        <f>C220*D220</f>
        <v>0</v>
      </c>
      <c r="F220" s="110"/>
      <c r="G220" s="38"/>
    </row>
    <row r="221" spans="1:7" ht="15" customHeight="1" x14ac:dyDescent="0.25">
      <c r="A221" s="55" t="s">
        <v>67</v>
      </c>
      <c r="B221" s="89" t="s">
        <v>85</v>
      </c>
      <c r="C221" s="89">
        <v>7.33</v>
      </c>
      <c r="D221" s="41"/>
      <c r="E221" s="41"/>
      <c r="F221" s="110"/>
      <c r="G221" s="38"/>
    </row>
    <row r="222" spans="1:7" ht="15" customHeight="1" x14ac:dyDescent="0.25">
      <c r="A222" s="55"/>
      <c r="B222" s="89" t="s">
        <v>84</v>
      </c>
      <c r="C222" s="127">
        <f>C221*8/7</f>
        <v>8.3771428571428572</v>
      </c>
      <c r="D222" s="41">
        <f>D216/220*2*1.2</f>
        <v>20.77538181818182</v>
      </c>
      <c r="E222" s="41">
        <f>C222*D222</f>
        <v>174.03834140259741</v>
      </c>
      <c r="F222" s="110"/>
      <c r="G222" s="38"/>
    </row>
    <row r="223" spans="1:7" ht="15" customHeight="1" x14ac:dyDescent="0.25">
      <c r="A223" s="55" t="s">
        <v>53</v>
      </c>
      <c r="B223" s="89" t="s">
        <v>52</v>
      </c>
      <c r="C223" s="89">
        <v>0</v>
      </c>
      <c r="D223" s="41">
        <f>D216/220*1.5</f>
        <v>12.984613636363637</v>
      </c>
      <c r="E223" s="41">
        <f>C223*D223</f>
        <v>0</v>
      </c>
      <c r="F223" s="110"/>
      <c r="G223" s="38"/>
    </row>
    <row r="224" spans="1:7" ht="15" customHeight="1" x14ac:dyDescent="0.25">
      <c r="A224" s="55" t="s">
        <v>68</v>
      </c>
      <c r="B224" s="89" t="s">
        <v>85</v>
      </c>
      <c r="C224" s="89">
        <v>0</v>
      </c>
      <c r="D224" s="41"/>
      <c r="E224" s="41"/>
      <c r="F224" s="110"/>
      <c r="G224" s="38"/>
    </row>
    <row r="225" spans="1:7" ht="15" customHeight="1" x14ac:dyDescent="0.25">
      <c r="A225" s="55"/>
      <c r="B225" s="89" t="s">
        <v>84</v>
      </c>
      <c r="C225" s="127">
        <f>C224*8/7</f>
        <v>0</v>
      </c>
      <c r="D225" s="41">
        <f>D216/220*1.5*1.2</f>
        <v>15.581536363636364</v>
      </c>
      <c r="E225" s="41">
        <f>C225*D225</f>
        <v>0</v>
      </c>
      <c r="F225" s="110"/>
      <c r="G225" s="38"/>
    </row>
    <row r="226" spans="1:7" ht="15" customHeight="1" x14ac:dyDescent="0.25">
      <c r="A226" s="55" t="s">
        <v>54</v>
      </c>
      <c r="B226" s="89" t="s">
        <v>55</v>
      </c>
      <c r="C226" s="89"/>
      <c r="D226" s="41">
        <f>63/302*(SUM(E220:E225))</f>
        <v>36.306011617098136</v>
      </c>
      <c r="E226" s="41">
        <f>D226</f>
        <v>36.306011617098136</v>
      </c>
      <c r="F226" s="110"/>
      <c r="G226" s="38"/>
    </row>
    <row r="227" spans="1:7" ht="15" customHeight="1" x14ac:dyDescent="0.25">
      <c r="A227" s="55" t="s">
        <v>86</v>
      </c>
      <c r="B227" s="89"/>
      <c r="C227" s="89">
        <v>2</v>
      </c>
      <c r="D227" s="41"/>
      <c r="E227" s="41"/>
      <c r="F227" s="110"/>
      <c r="G227" s="38"/>
    </row>
    <row r="228" spans="1:7" ht="15" customHeight="1" x14ac:dyDescent="0.25">
      <c r="A228" s="55" t="s">
        <v>56</v>
      </c>
      <c r="B228" s="89" t="s">
        <v>5</v>
      </c>
      <c r="C228" s="89">
        <v>40</v>
      </c>
      <c r="D228" s="41">
        <f>IF(C227=2,SUM(E216:E226),IF(C227=1,SUM(E216:E226)*D217/D216,0))</f>
        <v>2125.3003325521631</v>
      </c>
      <c r="E228" s="41">
        <f>C228*D228/100</f>
        <v>850.1201330208653</v>
      </c>
      <c r="F228" s="110"/>
      <c r="G228" s="38"/>
    </row>
    <row r="229" spans="1:7" ht="15" customHeight="1" x14ac:dyDescent="0.25">
      <c r="A229" s="55" t="s">
        <v>57</v>
      </c>
      <c r="B229" s="55"/>
      <c r="C229" s="89"/>
      <c r="D229" s="41"/>
      <c r="E229" s="121">
        <f>SUM(E216:E228)</f>
        <v>2975.4204655730282</v>
      </c>
      <c r="F229" s="110"/>
      <c r="G229" s="38"/>
    </row>
    <row r="230" spans="1:7" ht="15" customHeight="1" x14ac:dyDescent="0.25">
      <c r="A230" s="55" t="s">
        <v>58</v>
      </c>
      <c r="B230" s="89" t="s">
        <v>5</v>
      </c>
      <c r="C230" s="89">
        <v>70.81</v>
      </c>
      <c r="D230" s="41">
        <f>E229</f>
        <v>2975.4204655730282</v>
      </c>
      <c r="E230" s="41">
        <f>D230*C230/100</f>
        <v>2106.8952316722616</v>
      </c>
      <c r="F230" s="110"/>
      <c r="G230" s="38"/>
    </row>
    <row r="231" spans="1:7" ht="15" customHeight="1" x14ac:dyDescent="0.25">
      <c r="A231" s="55" t="s">
        <v>87</v>
      </c>
      <c r="B231" s="55"/>
      <c r="C231" s="55"/>
      <c r="D231" s="41"/>
      <c r="E231" s="121">
        <f>E229+E230</f>
        <v>5082.3156972452898</v>
      </c>
      <c r="F231" s="110"/>
      <c r="G231" s="38"/>
    </row>
    <row r="232" spans="1:7" ht="15" customHeight="1" thickBot="1" x14ac:dyDescent="0.3">
      <c r="A232" s="55" t="s">
        <v>60</v>
      </c>
      <c r="B232" s="89" t="s">
        <v>61</v>
      </c>
      <c r="C232" s="89">
        <v>1</v>
      </c>
      <c r="D232" s="41">
        <f>E231</f>
        <v>5082.3156972452898</v>
      </c>
      <c r="E232" s="41">
        <f>C232*D232</f>
        <v>5082.3156972452898</v>
      </c>
      <c r="F232" s="110"/>
      <c r="G232" s="38"/>
    </row>
    <row r="233" spans="1:7" ht="15" customHeight="1" thickBot="1" x14ac:dyDescent="0.3">
      <c r="D233" s="41" t="s">
        <v>88</v>
      </c>
      <c r="E233" s="97">
        <v>1</v>
      </c>
      <c r="F233" s="122">
        <f>E232*E233</f>
        <v>5082.3156972452898</v>
      </c>
      <c r="G233" s="38"/>
    </row>
    <row r="234" spans="1:7" ht="11.25" customHeight="1" x14ac:dyDescent="0.25">
      <c r="C234" s="81"/>
      <c r="D234" s="53"/>
      <c r="E234" s="53"/>
      <c r="F234" s="123"/>
      <c r="G234" s="38"/>
    </row>
    <row r="235" spans="1:7" ht="16.149999999999999" customHeight="1" thickBot="1" x14ac:dyDescent="0.3">
      <c r="A235" s="63" t="s">
        <v>90</v>
      </c>
      <c r="C235" s="81"/>
      <c r="D235" s="110"/>
      <c r="E235" s="110"/>
      <c r="F235" s="110"/>
      <c r="G235" s="38"/>
    </row>
    <row r="236" spans="1:7" ht="15" customHeight="1" thickBot="1" x14ac:dyDescent="0.3">
      <c r="A236" s="117" t="s">
        <v>44</v>
      </c>
      <c r="B236" s="118" t="s">
        <v>45</v>
      </c>
      <c r="C236" s="118" t="s">
        <v>28</v>
      </c>
      <c r="D236" s="119" t="s">
        <v>46</v>
      </c>
      <c r="E236" s="119" t="s">
        <v>47</v>
      </c>
      <c r="F236" s="120" t="s">
        <v>48</v>
      </c>
      <c r="G236" s="38"/>
    </row>
    <row r="237" spans="1:7" ht="15" customHeight="1" x14ac:dyDescent="0.25">
      <c r="A237" s="55" t="s">
        <v>49</v>
      </c>
      <c r="B237" s="89" t="s">
        <v>50</v>
      </c>
      <c r="C237" s="89">
        <v>1</v>
      </c>
      <c r="D237" s="213">
        <v>1184.93</v>
      </c>
      <c r="E237" s="41">
        <f>C237*D237</f>
        <v>1184.93</v>
      </c>
      <c r="F237" s="110"/>
      <c r="G237" s="38"/>
    </row>
    <row r="238" spans="1:7" ht="15" customHeight="1" x14ac:dyDescent="0.25">
      <c r="A238" s="55" t="s">
        <v>51</v>
      </c>
      <c r="B238" s="89" t="s">
        <v>52</v>
      </c>
      <c r="C238" s="89">
        <v>7.33</v>
      </c>
      <c r="D238" s="41">
        <f>D237/220*2</f>
        <v>10.77209090909091</v>
      </c>
      <c r="E238" s="41">
        <f>C238*D238</f>
        <v>78.959426363636368</v>
      </c>
      <c r="F238" s="110"/>
      <c r="G238" s="38"/>
    </row>
    <row r="239" spans="1:7" ht="15" customHeight="1" x14ac:dyDescent="0.25">
      <c r="A239" s="55" t="s">
        <v>53</v>
      </c>
      <c r="B239" s="89" t="s">
        <v>52</v>
      </c>
      <c r="C239" s="89">
        <v>0</v>
      </c>
      <c r="D239" s="41">
        <f>D237/220*1.5</f>
        <v>8.0790681818181831</v>
      </c>
      <c r="E239" s="41">
        <f>C239*D239</f>
        <v>0</v>
      </c>
      <c r="F239" s="110"/>
      <c r="G239" s="38"/>
    </row>
    <row r="240" spans="1:7" ht="15" customHeight="1" x14ac:dyDescent="0.25">
      <c r="A240" s="55" t="s">
        <v>54</v>
      </c>
      <c r="B240" s="89" t="s">
        <v>55</v>
      </c>
      <c r="C240" s="89"/>
      <c r="D240" s="41">
        <f>63/302*(SUM(E238:E239))</f>
        <v>16.471668413606263</v>
      </c>
      <c r="E240" s="41">
        <f>D240</f>
        <v>16.471668413606263</v>
      </c>
      <c r="F240" s="110"/>
      <c r="G240" s="38"/>
    </row>
    <row r="241" spans="1:7" ht="15" customHeight="1" x14ac:dyDescent="0.25">
      <c r="A241" s="55" t="s">
        <v>56</v>
      </c>
      <c r="B241" s="89" t="s">
        <v>5</v>
      </c>
      <c r="C241" s="89">
        <v>40</v>
      </c>
      <c r="D241" s="41">
        <f>SUM(E237:E240)</f>
        <v>1280.3610947772427</v>
      </c>
      <c r="E241" s="41">
        <f>C241*D241/100</f>
        <v>512.14443791089707</v>
      </c>
      <c r="F241" s="110"/>
      <c r="G241" s="38"/>
    </row>
    <row r="242" spans="1:7" ht="15" customHeight="1" x14ac:dyDescent="0.25">
      <c r="A242" s="55" t="s">
        <v>57</v>
      </c>
      <c r="B242" s="55"/>
      <c r="C242" s="89"/>
      <c r="D242" s="41"/>
      <c r="E242" s="121">
        <f>SUM(E237:E241)</f>
        <v>1792.5055326881397</v>
      </c>
      <c r="F242" s="110"/>
      <c r="G242" s="38"/>
    </row>
    <row r="243" spans="1:7" ht="15" customHeight="1" x14ac:dyDescent="0.25">
      <c r="A243" s="55" t="s">
        <v>58</v>
      </c>
      <c r="B243" s="89" t="s">
        <v>5</v>
      </c>
      <c r="C243" s="89">
        <v>70.81</v>
      </c>
      <c r="D243" s="41">
        <f>E242</f>
        <v>1792.5055326881397</v>
      </c>
      <c r="E243" s="41">
        <f>D243*C243/100</f>
        <v>1269.2731676964718</v>
      </c>
      <c r="F243" s="110"/>
      <c r="G243" s="38"/>
    </row>
    <row r="244" spans="1:7" ht="15" customHeight="1" x14ac:dyDescent="0.25">
      <c r="A244" s="55" t="s">
        <v>91</v>
      </c>
      <c r="B244" s="89"/>
      <c r="C244" s="89"/>
      <c r="D244" s="41"/>
      <c r="E244" s="121">
        <f>E242+E243</f>
        <v>3061.7787003846115</v>
      </c>
      <c r="F244" s="110"/>
      <c r="G244" s="38"/>
    </row>
    <row r="245" spans="1:7" ht="15" customHeight="1" x14ac:dyDescent="0.25">
      <c r="A245" s="55" t="s">
        <v>60</v>
      </c>
      <c r="B245" s="89" t="s">
        <v>61</v>
      </c>
      <c r="C245" s="89">
        <v>2</v>
      </c>
      <c r="D245" s="41">
        <f>E244</f>
        <v>3061.7787003846115</v>
      </c>
      <c r="E245" s="41">
        <f>C245*D245</f>
        <v>6123.557400769223</v>
      </c>
      <c r="F245" s="110"/>
      <c r="G245" s="38"/>
    </row>
    <row r="246" spans="1:7" ht="15" customHeight="1" x14ac:dyDescent="0.25">
      <c r="B246" s="81"/>
      <c r="C246" s="81"/>
      <c r="D246" s="41" t="s">
        <v>62</v>
      </c>
      <c r="E246" s="41">
        <f>$B$67</f>
        <v>1</v>
      </c>
      <c r="F246" s="128">
        <f>E245*E246</f>
        <v>6123.557400769223</v>
      </c>
      <c r="G246" s="38"/>
    </row>
    <row r="247" spans="1:7" ht="11.25" customHeight="1" x14ac:dyDescent="0.25">
      <c r="B247" s="81"/>
      <c r="C247" s="81"/>
      <c r="D247" s="53"/>
      <c r="E247" s="53"/>
      <c r="F247" s="123"/>
      <c r="G247" s="38"/>
    </row>
    <row r="248" spans="1:7" ht="11.25" customHeight="1" x14ac:dyDescent="0.25">
      <c r="D248" s="53"/>
      <c r="E248" s="53"/>
      <c r="F248" s="123"/>
      <c r="G248" s="38"/>
    </row>
    <row r="249" spans="1:7" ht="16.149999999999999" customHeight="1" thickBot="1" x14ac:dyDescent="0.3">
      <c r="A249" s="63" t="s">
        <v>92</v>
      </c>
      <c r="C249" s="81"/>
      <c r="D249" s="110"/>
      <c r="E249" s="110"/>
      <c r="F249" s="110"/>
      <c r="G249" s="38"/>
    </row>
    <row r="250" spans="1:7" ht="15" customHeight="1" thickBot="1" x14ac:dyDescent="0.3">
      <c r="A250" s="117" t="s">
        <v>44</v>
      </c>
      <c r="B250" s="118" t="s">
        <v>45</v>
      </c>
      <c r="C250" s="118" t="s">
        <v>28</v>
      </c>
      <c r="D250" s="119" t="s">
        <v>46</v>
      </c>
      <c r="E250" s="119" t="s">
        <v>47</v>
      </c>
      <c r="F250" s="120" t="s">
        <v>48</v>
      </c>
      <c r="G250" s="38"/>
    </row>
    <row r="251" spans="1:7" ht="15" customHeight="1" x14ac:dyDescent="0.25">
      <c r="A251" s="55" t="s">
        <v>49</v>
      </c>
      <c r="B251" s="89" t="s">
        <v>50</v>
      </c>
      <c r="C251" s="89">
        <v>1</v>
      </c>
      <c r="D251" s="41">
        <v>1612.88</v>
      </c>
      <c r="E251" s="41">
        <f>C251*D251</f>
        <v>1612.88</v>
      </c>
      <c r="F251" s="110"/>
      <c r="G251" s="38"/>
    </row>
    <row r="252" spans="1:7" ht="15" customHeight="1" x14ac:dyDescent="0.25">
      <c r="A252" s="55" t="s">
        <v>51</v>
      </c>
      <c r="B252" s="89" t="s">
        <v>52</v>
      </c>
      <c r="C252" s="89">
        <v>7.33</v>
      </c>
      <c r="D252" s="41">
        <f>D251/220*2</f>
        <v>14.662545454545455</v>
      </c>
      <c r="E252" s="41">
        <f>C252*D252</f>
        <v>107.47645818181819</v>
      </c>
      <c r="F252" s="110"/>
      <c r="G252" s="38"/>
    </row>
    <row r="253" spans="1:7" ht="15" customHeight="1" x14ac:dyDescent="0.25">
      <c r="A253" s="55" t="s">
        <v>53</v>
      </c>
      <c r="B253" s="89" t="s">
        <v>52</v>
      </c>
      <c r="C253" s="89">
        <v>0</v>
      </c>
      <c r="D253" s="41">
        <f>D251/220*1.5</f>
        <v>10.996909090909092</v>
      </c>
      <c r="E253" s="41">
        <f>C253*D253</f>
        <v>0</v>
      </c>
      <c r="F253" s="110"/>
      <c r="G253" s="38"/>
    </row>
    <row r="254" spans="1:7" ht="15" customHeight="1" x14ac:dyDescent="0.25">
      <c r="A254" s="55" t="s">
        <v>54</v>
      </c>
      <c r="B254" s="89" t="s">
        <v>55</v>
      </c>
      <c r="C254" s="89"/>
      <c r="D254" s="41">
        <f>63/302*(SUM(E252:E253))</f>
        <v>22.420585647200483</v>
      </c>
      <c r="E254" s="41">
        <f>D254</f>
        <v>22.420585647200483</v>
      </c>
      <c r="F254" s="110"/>
      <c r="G254" s="38"/>
    </row>
    <row r="255" spans="1:7" ht="15" customHeight="1" x14ac:dyDescent="0.25">
      <c r="A255" s="55" t="s">
        <v>56</v>
      </c>
      <c r="B255" s="89" t="s">
        <v>5</v>
      </c>
      <c r="C255" s="89">
        <v>40</v>
      </c>
      <c r="D255" s="41">
        <f>SUM(E251:E254)</f>
        <v>1742.7770438290186</v>
      </c>
      <c r="E255" s="41">
        <f>C255*D255/100</f>
        <v>697.11081753160749</v>
      </c>
      <c r="F255" s="110"/>
      <c r="G255" s="38"/>
    </row>
    <row r="256" spans="1:7" ht="15" customHeight="1" x14ac:dyDescent="0.25">
      <c r="A256" s="55" t="s">
        <v>57</v>
      </c>
      <c r="B256" s="55"/>
      <c r="C256" s="89"/>
      <c r="D256" s="41"/>
      <c r="E256" s="121">
        <f>SUM(E251:E255)</f>
        <v>2439.8878613606262</v>
      </c>
      <c r="F256" s="110"/>
      <c r="G256" s="38"/>
    </row>
    <row r="257" spans="1:7" ht="15" customHeight="1" x14ac:dyDescent="0.25">
      <c r="A257" s="55" t="s">
        <v>58</v>
      </c>
      <c r="B257" s="89" t="s">
        <v>5</v>
      </c>
      <c r="C257" s="89">
        <v>70.81</v>
      </c>
      <c r="D257" s="41">
        <f>E256</f>
        <v>2439.8878613606262</v>
      </c>
      <c r="E257" s="41">
        <f>D257*C257/100</f>
        <v>1727.6845946294593</v>
      </c>
      <c r="F257" s="110"/>
      <c r="G257" s="38"/>
    </row>
    <row r="258" spans="1:7" ht="15" customHeight="1" x14ac:dyDescent="0.25">
      <c r="A258" s="55" t="s">
        <v>91</v>
      </c>
      <c r="B258" s="89"/>
      <c r="C258" s="89"/>
      <c r="D258" s="41"/>
      <c r="E258" s="121">
        <f>E256+E257</f>
        <v>4167.5724559900855</v>
      </c>
      <c r="F258" s="110"/>
      <c r="G258" s="38"/>
    </row>
    <row r="259" spans="1:7" ht="15" customHeight="1" thickBot="1" x14ac:dyDescent="0.3">
      <c r="A259" s="55" t="s">
        <v>60</v>
      </c>
      <c r="B259" s="89" t="s">
        <v>61</v>
      </c>
      <c r="C259" s="89">
        <v>1</v>
      </c>
      <c r="D259" s="41">
        <f>E258</f>
        <v>4167.5724559900855</v>
      </c>
      <c r="E259" s="41">
        <f>C259*D259</f>
        <v>4167.5724559900855</v>
      </c>
      <c r="F259" s="110"/>
      <c r="G259" s="38"/>
    </row>
    <row r="260" spans="1:7" ht="15" customHeight="1" thickBot="1" x14ac:dyDescent="0.3">
      <c r="B260" s="81"/>
      <c r="C260" s="81"/>
      <c r="D260" s="41" t="s">
        <v>62</v>
      </c>
      <c r="E260" s="41">
        <f>$B$67</f>
        <v>1</v>
      </c>
      <c r="F260" s="129">
        <f>E259*E260</f>
        <v>4167.5724559900855</v>
      </c>
      <c r="G260" s="38"/>
    </row>
    <row r="261" spans="1:7" ht="11.25" customHeight="1" x14ac:dyDescent="0.25">
      <c r="D261" s="53"/>
      <c r="E261" s="53"/>
      <c r="F261" s="123"/>
      <c r="G261" s="38"/>
    </row>
    <row r="262" spans="1:7" ht="16.149999999999999" customHeight="1" thickBot="1" x14ac:dyDescent="0.3">
      <c r="A262" s="63" t="s">
        <v>93</v>
      </c>
      <c r="C262" s="81"/>
      <c r="D262" s="53"/>
      <c r="E262" s="53"/>
      <c r="F262" s="123"/>
      <c r="G262" s="38"/>
    </row>
    <row r="263" spans="1:7" ht="15" customHeight="1" thickBot="1" x14ac:dyDescent="0.3">
      <c r="A263" s="124" t="s">
        <v>44</v>
      </c>
      <c r="B263" s="125" t="s">
        <v>45</v>
      </c>
      <c r="C263" s="125" t="s">
        <v>28</v>
      </c>
      <c r="D263" s="126" t="s">
        <v>46</v>
      </c>
      <c r="E263" s="126" t="s">
        <v>47</v>
      </c>
      <c r="F263" s="67" t="s">
        <v>48</v>
      </c>
      <c r="G263" s="38"/>
    </row>
    <row r="264" spans="1:7" ht="15" customHeight="1" x14ac:dyDescent="0.25">
      <c r="A264" s="55" t="s">
        <v>49</v>
      </c>
      <c r="B264" s="89" t="s">
        <v>50</v>
      </c>
      <c r="C264" s="89">
        <v>1</v>
      </c>
      <c r="D264" s="41">
        <v>1612.88</v>
      </c>
      <c r="E264" s="41">
        <f>C264*D264</f>
        <v>1612.88</v>
      </c>
      <c r="F264" s="110"/>
      <c r="G264" s="38"/>
    </row>
    <row r="265" spans="1:7" ht="15" customHeight="1" x14ac:dyDescent="0.25">
      <c r="A265" s="55" t="s">
        <v>82</v>
      </c>
      <c r="B265" s="89" t="s">
        <v>55</v>
      </c>
      <c r="C265" s="89">
        <v>1</v>
      </c>
      <c r="D265" s="41">
        <v>1100</v>
      </c>
      <c r="E265" s="41"/>
      <c r="F265" s="110"/>
      <c r="G265" s="38"/>
    </row>
    <row r="266" spans="1:7" ht="15" customHeight="1" x14ac:dyDescent="0.25">
      <c r="A266" s="55" t="s">
        <v>64</v>
      </c>
      <c r="B266" s="89" t="s">
        <v>83</v>
      </c>
      <c r="C266" s="89">
        <v>5.33</v>
      </c>
      <c r="D266" s="41"/>
      <c r="E266" s="41"/>
      <c r="F266" s="110"/>
      <c r="G266" s="38"/>
    </row>
    <row r="267" spans="1:7" ht="15" customHeight="1" x14ac:dyDescent="0.25">
      <c r="A267" s="55"/>
      <c r="B267" s="89" t="s">
        <v>84</v>
      </c>
      <c r="C267" s="127">
        <f>C266*8/7</f>
        <v>6.0914285714285716</v>
      </c>
      <c r="D267" s="41">
        <f>D264/220*0.2</f>
        <v>1.4662545454545457</v>
      </c>
      <c r="E267" s="41">
        <f>C267*D267</f>
        <v>8.9315848311688324</v>
      </c>
      <c r="F267" s="110"/>
      <c r="G267" s="38"/>
    </row>
    <row r="268" spans="1:7" ht="15" customHeight="1" x14ac:dyDescent="0.25">
      <c r="A268" s="55" t="s">
        <v>51</v>
      </c>
      <c r="B268" s="89" t="s">
        <v>52</v>
      </c>
      <c r="C268" s="89">
        <v>0</v>
      </c>
      <c r="D268" s="41">
        <f>D264/220*2</f>
        <v>14.662545454545455</v>
      </c>
      <c r="E268" s="41">
        <f>C268*D268</f>
        <v>0</v>
      </c>
      <c r="F268" s="110"/>
      <c r="G268" s="38"/>
    </row>
    <row r="269" spans="1:7" ht="15" customHeight="1" x14ac:dyDescent="0.25">
      <c r="A269" s="55" t="s">
        <v>67</v>
      </c>
      <c r="B269" s="89" t="s">
        <v>85</v>
      </c>
      <c r="C269" s="89">
        <v>7.33</v>
      </c>
      <c r="D269" s="41"/>
      <c r="E269" s="41"/>
      <c r="F269" s="110"/>
      <c r="G269" s="38"/>
    </row>
    <row r="270" spans="1:7" ht="15" customHeight="1" x14ac:dyDescent="0.25">
      <c r="A270" s="55"/>
      <c r="B270" s="89" t="s">
        <v>66</v>
      </c>
      <c r="C270" s="127">
        <f>C269*8/7</f>
        <v>8.3771428571428572</v>
      </c>
      <c r="D270" s="41">
        <f>D264/220*2*1.2</f>
        <v>17.595054545454545</v>
      </c>
      <c r="E270" s="41">
        <f>C270*D270</f>
        <v>147.39628550649351</v>
      </c>
      <c r="F270" s="110"/>
      <c r="G270" s="38"/>
    </row>
    <row r="271" spans="1:7" ht="15" customHeight="1" x14ac:dyDescent="0.25">
      <c r="A271" s="55" t="s">
        <v>53</v>
      </c>
      <c r="B271" s="89" t="s">
        <v>52</v>
      </c>
      <c r="C271" s="89">
        <v>0</v>
      </c>
      <c r="D271" s="41">
        <f>D264/220*1.5</f>
        <v>10.996909090909092</v>
      </c>
      <c r="E271" s="41">
        <f>C271*D271</f>
        <v>0</v>
      </c>
      <c r="F271" s="110"/>
      <c r="G271" s="38"/>
    </row>
    <row r="272" spans="1:7" ht="15" customHeight="1" x14ac:dyDescent="0.25">
      <c r="A272" s="55" t="s">
        <v>68</v>
      </c>
      <c r="B272" s="89" t="s">
        <v>85</v>
      </c>
      <c r="C272" s="89">
        <v>0</v>
      </c>
      <c r="D272" s="41"/>
      <c r="E272" s="41"/>
      <c r="F272" s="110"/>
      <c r="G272" s="38"/>
    </row>
    <row r="273" spans="1:7" ht="15" customHeight="1" x14ac:dyDescent="0.25">
      <c r="A273" s="55"/>
      <c r="B273" s="89" t="s">
        <v>66</v>
      </c>
      <c r="C273" s="127">
        <f>C272*8/7</f>
        <v>0</v>
      </c>
      <c r="D273" s="41">
        <f>D264/220*1.5*1.2</f>
        <v>13.19629090909091</v>
      </c>
      <c r="E273" s="41">
        <f>C273*D273</f>
        <v>0</v>
      </c>
      <c r="F273" s="110"/>
      <c r="G273" s="38"/>
    </row>
    <row r="274" spans="1:7" ht="15" customHeight="1" x14ac:dyDescent="0.25">
      <c r="A274" s="55" t="s">
        <v>54</v>
      </c>
      <c r="B274" s="89" t="s">
        <v>55</v>
      </c>
      <c r="C274" s="89"/>
      <c r="D274" s="41">
        <f>63/302*(SUM(E268:E273))</f>
        <v>30.748231744732092</v>
      </c>
      <c r="E274" s="41">
        <f>D274</f>
        <v>30.748231744732092</v>
      </c>
      <c r="F274" s="110"/>
      <c r="G274" s="38"/>
    </row>
    <row r="275" spans="1:7" ht="15" customHeight="1" x14ac:dyDescent="0.25">
      <c r="A275" s="55" t="s">
        <v>86</v>
      </c>
      <c r="B275" s="89"/>
      <c r="C275" s="89">
        <v>2</v>
      </c>
      <c r="D275" s="41"/>
      <c r="E275" s="41"/>
      <c r="F275" s="110"/>
      <c r="G275" s="38"/>
    </row>
    <row r="276" spans="1:7" ht="15" customHeight="1" x14ac:dyDescent="0.25">
      <c r="A276" s="55" t="s">
        <v>56</v>
      </c>
      <c r="B276" s="89" t="s">
        <v>5</v>
      </c>
      <c r="C276" s="89">
        <v>40</v>
      </c>
      <c r="D276" s="41">
        <f>IF(C275=2,SUM(E264:E274),IF(C275=1,SUM(E264:E274)*D265/D264,0))</f>
        <v>1799.9561020823944</v>
      </c>
      <c r="E276" s="41">
        <f>C276*D276/100</f>
        <v>719.98244083295776</v>
      </c>
      <c r="F276" s="110"/>
      <c r="G276" s="38"/>
    </row>
    <row r="277" spans="1:7" ht="15" customHeight="1" x14ac:dyDescent="0.25">
      <c r="A277" s="99" t="s">
        <v>57</v>
      </c>
      <c r="B277" s="55"/>
      <c r="C277" s="89"/>
      <c r="D277" s="41"/>
      <c r="E277" s="121">
        <f>SUM(E264:E276)</f>
        <v>2519.9385429153522</v>
      </c>
      <c r="F277" s="110"/>
      <c r="G277" s="38"/>
    </row>
    <row r="278" spans="1:7" ht="15.6" customHeight="1" x14ac:dyDescent="0.25">
      <c r="A278" s="55" t="s">
        <v>58</v>
      </c>
      <c r="B278" s="89" t="s">
        <v>5</v>
      </c>
      <c r="C278" s="89">
        <v>70.81</v>
      </c>
      <c r="D278" s="41">
        <f>E277</f>
        <v>2519.9385429153522</v>
      </c>
      <c r="E278" s="41">
        <f>D278*C278/100</f>
        <v>1784.3684822383611</v>
      </c>
      <c r="F278" s="110"/>
      <c r="G278" s="38"/>
    </row>
    <row r="279" spans="1:7" ht="15" customHeight="1" x14ac:dyDescent="0.25">
      <c r="A279" s="55" t="s">
        <v>87</v>
      </c>
      <c r="B279" s="55"/>
      <c r="C279" s="55"/>
      <c r="D279" s="41"/>
      <c r="E279" s="121">
        <f>E277+E278</f>
        <v>4304.3070251537138</v>
      </c>
      <c r="F279" s="110"/>
      <c r="G279" s="38"/>
    </row>
    <row r="280" spans="1:7" ht="15" customHeight="1" thickBot="1" x14ac:dyDescent="0.3">
      <c r="A280" s="99" t="s">
        <v>60</v>
      </c>
      <c r="B280" s="89" t="s">
        <v>61</v>
      </c>
      <c r="C280" s="89">
        <v>1</v>
      </c>
      <c r="D280" s="41">
        <f>E279</f>
        <v>4304.3070251537138</v>
      </c>
      <c r="E280" s="41">
        <f>C280*D280</f>
        <v>4304.3070251537138</v>
      </c>
      <c r="F280" s="110"/>
      <c r="G280" s="38"/>
    </row>
    <row r="281" spans="1:7" ht="15" customHeight="1" thickBot="1" x14ac:dyDescent="0.3">
      <c r="D281" s="41" t="s">
        <v>88</v>
      </c>
      <c r="E281" s="97">
        <v>1</v>
      </c>
      <c r="F281" s="122">
        <f>E280*E281</f>
        <v>4304.3070251537138</v>
      </c>
      <c r="G281" s="38"/>
    </row>
    <row r="282" spans="1:7" ht="11.25" customHeight="1" x14ac:dyDescent="0.25">
      <c r="D282" s="53"/>
      <c r="E282" s="53"/>
      <c r="F282" s="123"/>
      <c r="G282" s="38"/>
    </row>
    <row r="283" spans="1:7" ht="16.149999999999999" customHeight="1" thickBot="1" x14ac:dyDescent="0.3">
      <c r="A283" s="63" t="s">
        <v>94</v>
      </c>
      <c r="C283" s="81"/>
      <c r="D283" s="110"/>
      <c r="E283" s="110"/>
      <c r="F283" s="110"/>
      <c r="G283" s="38"/>
    </row>
    <row r="284" spans="1:7" ht="15" customHeight="1" thickBot="1" x14ac:dyDescent="0.3">
      <c r="A284" s="117" t="s">
        <v>44</v>
      </c>
      <c r="B284" s="118" t="s">
        <v>45</v>
      </c>
      <c r="C284" s="118" t="s">
        <v>28</v>
      </c>
      <c r="D284" s="119" t="s">
        <v>46</v>
      </c>
      <c r="E284" s="119" t="s">
        <v>47</v>
      </c>
      <c r="F284" s="120" t="s">
        <v>48</v>
      </c>
      <c r="G284" s="38"/>
    </row>
    <row r="285" spans="1:7" ht="15" customHeight="1" x14ac:dyDescent="0.25">
      <c r="A285" s="55" t="s">
        <v>49</v>
      </c>
      <c r="B285" s="89" t="s">
        <v>50</v>
      </c>
      <c r="C285" s="89">
        <v>1</v>
      </c>
      <c r="D285" s="41">
        <v>2614.63</v>
      </c>
      <c r="E285" s="41">
        <f>C285*D285</f>
        <v>2614.63</v>
      </c>
      <c r="F285" s="110"/>
      <c r="G285" s="38"/>
    </row>
    <row r="286" spans="1:7" ht="15" customHeight="1" x14ac:dyDescent="0.25">
      <c r="A286" s="55" t="s">
        <v>51</v>
      </c>
      <c r="B286" s="89" t="s">
        <v>52</v>
      </c>
      <c r="C286" s="89">
        <v>0</v>
      </c>
      <c r="D286" s="41">
        <f>D285/220*2</f>
        <v>23.769363636363636</v>
      </c>
      <c r="E286" s="41">
        <f>C286*D286</f>
        <v>0</v>
      </c>
      <c r="F286" s="110"/>
      <c r="G286" s="38"/>
    </row>
    <row r="287" spans="1:7" ht="15" customHeight="1" x14ac:dyDescent="0.25">
      <c r="A287" s="55" t="s">
        <v>53</v>
      </c>
      <c r="B287" s="89" t="s">
        <v>52</v>
      </c>
      <c r="C287" s="89">
        <v>0</v>
      </c>
      <c r="D287" s="41">
        <f>D285/220*1.5</f>
        <v>17.827022727272727</v>
      </c>
      <c r="E287" s="41">
        <f>C287*D287</f>
        <v>0</v>
      </c>
      <c r="F287" s="110"/>
      <c r="G287" s="38"/>
    </row>
    <row r="288" spans="1:7" ht="15" customHeight="1" x14ac:dyDescent="0.25">
      <c r="A288" s="55" t="s">
        <v>54</v>
      </c>
      <c r="B288" s="89" t="s">
        <v>55</v>
      </c>
      <c r="C288" s="89"/>
      <c r="D288" s="41">
        <f>63/302*(SUM(E286:E287))</f>
        <v>0</v>
      </c>
      <c r="E288" s="41">
        <f>D288</f>
        <v>0</v>
      </c>
      <c r="F288" s="110"/>
      <c r="G288" s="38"/>
    </row>
    <row r="289" spans="1:7" ht="15" customHeight="1" x14ac:dyDescent="0.25">
      <c r="A289" s="55" t="s">
        <v>56</v>
      </c>
      <c r="B289" s="89" t="s">
        <v>5</v>
      </c>
      <c r="C289" s="89">
        <v>0</v>
      </c>
      <c r="D289" s="41">
        <f>SUM(E285:E288)</f>
        <v>2614.63</v>
      </c>
      <c r="E289" s="41">
        <f>C289*D289/100</f>
        <v>0</v>
      </c>
      <c r="F289" s="110"/>
      <c r="G289" s="38"/>
    </row>
    <row r="290" spans="1:7" ht="15" customHeight="1" x14ac:dyDescent="0.25">
      <c r="A290" s="55" t="s">
        <v>57</v>
      </c>
      <c r="B290" s="55"/>
      <c r="C290" s="89"/>
      <c r="D290" s="41"/>
      <c r="E290" s="121">
        <f>SUM(E285:E289)</f>
        <v>2614.63</v>
      </c>
      <c r="F290" s="110"/>
      <c r="G290" s="38"/>
    </row>
    <row r="291" spans="1:7" ht="15.6" customHeight="1" x14ac:dyDescent="0.25">
      <c r="A291" s="55" t="s">
        <v>58</v>
      </c>
      <c r="B291" s="89" t="s">
        <v>5</v>
      </c>
      <c r="C291" s="89">
        <v>70.81</v>
      </c>
      <c r="D291" s="41">
        <f>E290</f>
        <v>2614.63</v>
      </c>
      <c r="E291" s="41">
        <f>D291*C291/100</f>
        <v>1851.4195030000003</v>
      </c>
      <c r="F291" s="110"/>
      <c r="G291" s="38"/>
    </row>
    <row r="292" spans="1:7" ht="15" customHeight="1" x14ac:dyDescent="0.25">
      <c r="A292" s="55" t="s">
        <v>95</v>
      </c>
      <c r="B292" s="55"/>
      <c r="C292" s="89"/>
      <c r="D292" s="41"/>
      <c r="E292" s="121">
        <f>E290+E291</f>
        <v>4466.0495030000002</v>
      </c>
      <c r="F292" s="110"/>
      <c r="G292" s="38"/>
    </row>
    <row r="293" spans="1:7" ht="15" customHeight="1" thickBot="1" x14ac:dyDescent="0.3">
      <c r="A293" s="55" t="s">
        <v>60</v>
      </c>
      <c r="B293" s="89" t="s">
        <v>61</v>
      </c>
      <c r="C293" s="89">
        <v>1</v>
      </c>
      <c r="D293" s="41">
        <f>E292</f>
        <v>4466.0495030000002</v>
      </c>
      <c r="E293" s="41">
        <f>C293*D293</f>
        <v>4466.0495030000002</v>
      </c>
      <c r="F293" s="85"/>
      <c r="G293" s="38"/>
    </row>
    <row r="294" spans="1:7" ht="15" customHeight="1" thickBot="1" x14ac:dyDescent="0.3">
      <c r="D294" s="41" t="s">
        <v>62</v>
      </c>
      <c r="E294" s="97">
        <f>$B$67</f>
        <v>1</v>
      </c>
      <c r="F294" s="122">
        <f>E293*E294</f>
        <v>4466.0495030000002</v>
      </c>
      <c r="G294" s="38"/>
    </row>
    <row r="295" spans="1:7" ht="11.25" customHeight="1" x14ac:dyDescent="0.25">
      <c r="D295" s="53"/>
      <c r="E295" s="53"/>
      <c r="F295" s="110"/>
      <c r="G295" s="38"/>
    </row>
    <row r="296" spans="1:7" x14ac:dyDescent="0.25">
      <c r="B296" s="130"/>
      <c r="D296" s="38"/>
      <c r="E296" s="38"/>
      <c r="G296" s="38"/>
    </row>
    <row r="297" spans="1:7" ht="16.5" thickBot="1" x14ac:dyDescent="0.3">
      <c r="A297" s="63" t="s">
        <v>96</v>
      </c>
      <c r="D297" s="85"/>
      <c r="E297" s="85"/>
      <c r="F297" s="85"/>
      <c r="G297" s="38"/>
    </row>
    <row r="298" spans="1:7" ht="15" customHeight="1" thickBot="1" x14ac:dyDescent="0.3">
      <c r="A298" s="111" t="s">
        <v>44</v>
      </c>
      <c r="B298" s="112" t="s">
        <v>45</v>
      </c>
      <c r="C298" s="112" t="s">
        <v>28</v>
      </c>
      <c r="D298" s="131" t="s">
        <v>46</v>
      </c>
      <c r="E298" s="131" t="s">
        <v>47</v>
      </c>
      <c r="F298" s="120" t="s">
        <v>48</v>
      </c>
      <c r="G298" s="38"/>
    </row>
    <row r="299" spans="1:7" ht="15" customHeight="1" x14ac:dyDescent="0.25">
      <c r="A299" s="55" t="s">
        <v>97</v>
      </c>
      <c r="B299" s="89" t="s">
        <v>55</v>
      </c>
      <c r="C299" s="96">
        <v>1</v>
      </c>
      <c r="D299" s="214">
        <v>4.3499999999999996</v>
      </c>
      <c r="E299" s="90"/>
      <c r="F299" s="85"/>
      <c r="G299" s="38"/>
    </row>
    <row r="300" spans="1:7" ht="15" customHeight="1" x14ac:dyDescent="0.25">
      <c r="A300" s="55" t="s">
        <v>98</v>
      </c>
      <c r="B300" s="89" t="s">
        <v>99</v>
      </c>
      <c r="C300" s="81">
        <v>26</v>
      </c>
      <c r="D300" s="90"/>
      <c r="E300" s="90"/>
      <c r="F300" s="85"/>
      <c r="G300" s="38"/>
    </row>
    <row r="301" spans="1:7" ht="15" customHeight="1" x14ac:dyDescent="0.25">
      <c r="A301" s="55" t="s">
        <v>100</v>
      </c>
      <c r="B301" s="87" t="s">
        <v>101</v>
      </c>
      <c r="C301" s="96">
        <f>$C$300*2*18</f>
        <v>936</v>
      </c>
      <c r="D301" s="90">
        <f>IFERROR((($C$300*2*$D$299)-(E105*0.06*C300/26))/($C$300*2),"-")</f>
        <v>2.1228576923076923</v>
      </c>
      <c r="E301" s="90">
        <f>IFERROR(C301*D301,"-")</f>
        <v>1986.9947999999999</v>
      </c>
      <c r="F301" s="85"/>
      <c r="G301" s="38"/>
    </row>
    <row r="302" spans="1:7" ht="15" customHeight="1" x14ac:dyDescent="0.25">
      <c r="A302" s="55" t="s">
        <v>102</v>
      </c>
      <c r="B302" s="89" t="s">
        <v>101</v>
      </c>
      <c r="C302" s="96">
        <f>$C$300*2*50</f>
        <v>2600</v>
      </c>
      <c r="D302" s="90">
        <f>IFERROR((($C$300*2*$D$299)-(E73*0.06*C300/26))/($C$300*2),"-")</f>
        <v>2.7377653846153844</v>
      </c>
      <c r="E302" s="90">
        <f t="shared" ref="E302:E309" si="2">IFERROR(C302*D302,"-")</f>
        <v>7118.19</v>
      </c>
      <c r="F302" s="85"/>
      <c r="G302" s="38"/>
    </row>
    <row r="303" spans="1:7" ht="15" customHeight="1" x14ac:dyDescent="0.25">
      <c r="A303" s="55" t="s">
        <v>103</v>
      </c>
      <c r="B303" s="89" t="s">
        <v>101</v>
      </c>
      <c r="C303" s="96">
        <f>$C$300*2*2</f>
        <v>104</v>
      </c>
      <c r="D303" s="90">
        <f>IFERROR((($C$300*2*$D$299)-(E203*0.06*C300/26))/($C$300*2),"-")</f>
        <v>2.1526038461538457</v>
      </c>
      <c r="E303" s="90">
        <f t="shared" si="2"/>
        <v>223.87079999999995</v>
      </c>
      <c r="F303" s="85"/>
      <c r="G303" s="38"/>
    </row>
    <row r="304" spans="1:7" ht="15" customHeight="1" x14ac:dyDescent="0.25">
      <c r="A304" s="55" t="s">
        <v>104</v>
      </c>
      <c r="B304" s="89" t="s">
        <v>101</v>
      </c>
      <c r="C304" s="96">
        <f>$C$300*2*2</f>
        <v>104</v>
      </c>
      <c r="D304" s="90">
        <f>IFERROR((($C$300*2*$D$299)-(E251*0.06*C300/26))/($C$300*2),"-")</f>
        <v>2.4889846153846156</v>
      </c>
      <c r="E304" s="90">
        <f t="shared" si="2"/>
        <v>258.8544</v>
      </c>
      <c r="F304" s="85"/>
      <c r="G304" s="38"/>
    </row>
    <row r="305" spans="1:7" ht="15" customHeight="1" x14ac:dyDescent="0.25">
      <c r="A305" s="55" t="s">
        <v>105</v>
      </c>
      <c r="B305" s="89" t="s">
        <v>101</v>
      </c>
      <c r="C305" s="96">
        <f>$C$300*2*2</f>
        <v>104</v>
      </c>
      <c r="D305" s="90">
        <f>IFERROR((($C$300*2*$D$299)-(E237*0.06*C300/26))/($C$300*2),"-")</f>
        <v>2.9827730769230767</v>
      </c>
      <c r="E305" s="90">
        <f t="shared" si="2"/>
        <v>310.20839999999998</v>
      </c>
      <c r="F305" s="85"/>
      <c r="G305" s="38"/>
    </row>
    <row r="306" spans="1:7" ht="15" customHeight="1" x14ac:dyDescent="0.25">
      <c r="A306" s="55" t="s">
        <v>106</v>
      </c>
      <c r="B306" s="89" t="s">
        <v>101</v>
      </c>
      <c r="C306" s="96">
        <f>$C$300*2*2</f>
        <v>104</v>
      </c>
      <c r="D306" s="90">
        <f>IFERROR((($C$300*2*$D$299)-(E169*0.06*C300/26))/($C$300*2),"-")</f>
        <v>1.6849961538461538</v>
      </c>
      <c r="E306" s="90">
        <f t="shared" si="2"/>
        <v>175.2396</v>
      </c>
      <c r="F306" s="85"/>
      <c r="G306" s="38"/>
    </row>
    <row r="307" spans="1:7" ht="15" customHeight="1" x14ac:dyDescent="0.25">
      <c r="A307" s="55" t="s">
        <v>107</v>
      </c>
      <c r="B307" s="89" t="s">
        <v>101</v>
      </c>
      <c r="C307" s="96">
        <f>$C$300*2*2</f>
        <v>104</v>
      </c>
      <c r="D307" s="90">
        <f>IFERROR((($C$300*2*$D$299)-(E155*0.06*C300/26))/($C$300*2),"-")</f>
        <v>2.563165384615385</v>
      </c>
      <c r="E307" s="90">
        <f t="shared" si="2"/>
        <v>266.56920000000002</v>
      </c>
      <c r="F307" s="85"/>
      <c r="G307" s="38"/>
    </row>
    <row r="308" spans="1:7" ht="15" customHeight="1" x14ac:dyDescent="0.25">
      <c r="A308" s="55" t="s">
        <v>108</v>
      </c>
      <c r="B308" s="89" t="s">
        <v>101</v>
      </c>
      <c r="C308" s="96">
        <f>$C$300*2*1</f>
        <v>52</v>
      </c>
      <c r="D308" s="90">
        <f>IFERROR((($C$300*2*$D$299)-(E141*0.06*C300/26))/($C$300*2),"-")</f>
        <v>1.6849961538461538</v>
      </c>
      <c r="E308" s="90">
        <f t="shared" si="2"/>
        <v>87.619799999999998</v>
      </c>
      <c r="F308" s="85"/>
      <c r="G308" s="38"/>
    </row>
    <row r="309" spans="1:7" ht="15" customHeight="1" x14ac:dyDescent="0.25">
      <c r="A309" s="55" t="s">
        <v>109</v>
      </c>
      <c r="B309" s="89" t="s">
        <v>101</v>
      </c>
      <c r="C309" s="96">
        <f>$C$300*2*1</f>
        <v>52</v>
      </c>
      <c r="D309" s="90">
        <f>IFERROR((($C$300*2*$D$299)-(E285*0.06*C300/26))/($C$300*2),"-")</f>
        <v>1.3331192307692303</v>
      </c>
      <c r="E309" s="90">
        <f t="shared" si="2"/>
        <v>69.322199999999981</v>
      </c>
      <c r="F309" s="85"/>
      <c r="G309" s="38"/>
    </row>
    <row r="310" spans="1:7" ht="15" customHeight="1" thickBot="1" x14ac:dyDescent="0.3">
      <c r="A310" s="55"/>
      <c r="B310" s="89"/>
      <c r="C310" s="132"/>
      <c r="D310" s="41"/>
      <c r="E310" s="41"/>
      <c r="F310" s="85"/>
      <c r="G310" s="38"/>
    </row>
    <row r="311" spans="1:7" ht="15" customHeight="1" thickBot="1" x14ac:dyDescent="0.3">
      <c r="D311" s="110"/>
      <c r="E311" s="110"/>
      <c r="F311" s="122">
        <f>SUM(E301:E311)</f>
        <v>10496.869200000001</v>
      </c>
      <c r="G311" s="38"/>
    </row>
    <row r="312" spans="1:7" x14ac:dyDescent="0.25">
      <c r="F312" s="123"/>
      <c r="G312" s="38"/>
    </row>
    <row r="313" spans="1:7" ht="16.5" thickBot="1" x14ac:dyDescent="0.3">
      <c r="A313" s="63" t="s">
        <v>110</v>
      </c>
      <c r="D313" s="85"/>
      <c r="E313" s="85"/>
      <c r="F313" s="85"/>
      <c r="G313" s="38"/>
    </row>
    <row r="314" spans="1:7" ht="15" customHeight="1" thickBot="1" x14ac:dyDescent="0.3">
      <c r="A314" s="111" t="s">
        <v>44</v>
      </c>
      <c r="B314" s="112" t="s">
        <v>45</v>
      </c>
      <c r="C314" s="112" t="s">
        <v>28</v>
      </c>
      <c r="D314" s="131" t="s">
        <v>46</v>
      </c>
      <c r="E314" s="131" t="s">
        <v>47</v>
      </c>
      <c r="F314" s="120" t="s">
        <v>48</v>
      </c>
      <c r="G314" s="38"/>
    </row>
    <row r="315" spans="1:7" ht="15" customHeight="1" x14ac:dyDescent="0.25">
      <c r="A315" s="55" t="s">
        <v>102</v>
      </c>
      <c r="B315" s="89" t="s">
        <v>111</v>
      </c>
      <c r="C315" s="133">
        <f>C300*(E47+E48)</f>
        <v>1300</v>
      </c>
      <c r="D315" s="215">
        <v>18.2</v>
      </c>
      <c r="E315" s="41">
        <f>C315*D315</f>
        <v>23660</v>
      </c>
      <c r="F315" s="123"/>
      <c r="G315" s="38"/>
    </row>
    <row r="316" spans="1:7" ht="15" customHeight="1" x14ac:dyDescent="0.25">
      <c r="A316" s="55" t="s">
        <v>100</v>
      </c>
      <c r="B316" s="89" t="s">
        <v>111</v>
      </c>
      <c r="C316" s="133">
        <f>C300*(E49+E50)</f>
        <v>468</v>
      </c>
      <c r="D316" s="215">
        <v>18.2</v>
      </c>
      <c r="E316" s="41">
        <f t="shared" ref="E316:E323" si="3">C316*D316</f>
        <v>8517.6</v>
      </c>
      <c r="F316" s="123"/>
      <c r="G316" s="38"/>
    </row>
    <row r="317" spans="1:7" ht="15" customHeight="1" x14ac:dyDescent="0.25">
      <c r="A317" s="55" t="s">
        <v>103</v>
      </c>
      <c r="B317" s="89" t="s">
        <v>111</v>
      </c>
      <c r="C317" s="133">
        <f>C300*(E51+E52)</f>
        <v>52</v>
      </c>
      <c r="D317" s="215">
        <v>18.2</v>
      </c>
      <c r="E317" s="41">
        <f t="shared" si="3"/>
        <v>946.4</v>
      </c>
      <c r="F317" s="123"/>
      <c r="G317" s="38"/>
    </row>
    <row r="318" spans="1:7" ht="15" customHeight="1" x14ac:dyDescent="0.25">
      <c r="A318" s="55" t="s">
        <v>104</v>
      </c>
      <c r="B318" s="89" t="s">
        <v>111</v>
      </c>
      <c r="C318" s="133">
        <f>C300*(E53+E54)</f>
        <v>52</v>
      </c>
      <c r="D318" s="215">
        <v>18.2</v>
      </c>
      <c r="E318" s="41">
        <f t="shared" si="3"/>
        <v>946.4</v>
      </c>
      <c r="F318" s="38"/>
      <c r="G318" s="38"/>
    </row>
    <row r="319" spans="1:7" ht="15" customHeight="1" x14ac:dyDescent="0.25">
      <c r="A319" s="55" t="s">
        <v>105</v>
      </c>
      <c r="B319" s="89" t="s">
        <v>111</v>
      </c>
      <c r="C319" s="133">
        <f>C300*(E55)</f>
        <v>52</v>
      </c>
      <c r="D319" s="215">
        <v>18.2</v>
      </c>
      <c r="E319" s="41">
        <f t="shared" si="3"/>
        <v>946.4</v>
      </c>
      <c r="F319" s="123"/>
      <c r="G319" s="38"/>
    </row>
    <row r="320" spans="1:7" ht="15" customHeight="1" x14ac:dyDescent="0.25">
      <c r="A320" s="55" t="s">
        <v>106</v>
      </c>
      <c r="B320" s="89" t="s">
        <v>111</v>
      </c>
      <c r="C320" s="133">
        <f>C300*(E56+E57)</f>
        <v>52</v>
      </c>
      <c r="D320" s="215">
        <v>18.2</v>
      </c>
      <c r="E320" s="41">
        <f t="shared" si="3"/>
        <v>946.4</v>
      </c>
      <c r="F320" s="134"/>
      <c r="G320" s="38"/>
    </row>
    <row r="321" spans="1:7" ht="15" customHeight="1" x14ac:dyDescent="0.25">
      <c r="A321" s="55" t="s">
        <v>107</v>
      </c>
      <c r="B321" s="89" t="s">
        <v>111</v>
      </c>
      <c r="C321" s="133">
        <f>C300*(E58)</f>
        <v>52</v>
      </c>
      <c r="D321" s="215">
        <v>18.2</v>
      </c>
      <c r="E321" s="41">
        <f t="shared" si="3"/>
        <v>946.4</v>
      </c>
      <c r="F321" s="123"/>
      <c r="G321" s="38"/>
    </row>
    <row r="322" spans="1:7" ht="15" customHeight="1" x14ac:dyDescent="0.25">
      <c r="A322" s="55" t="s">
        <v>108</v>
      </c>
      <c r="B322" s="89" t="s">
        <v>111</v>
      </c>
      <c r="C322" s="133">
        <f>C300*(E59)</f>
        <v>26</v>
      </c>
      <c r="D322" s="215">
        <v>18.2</v>
      </c>
      <c r="E322" s="41">
        <f t="shared" si="3"/>
        <v>473.2</v>
      </c>
      <c r="F322" s="123"/>
      <c r="G322" s="38"/>
    </row>
    <row r="323" spans="1:7" ht="15" customHeight="1" thickBot="1" x14ac:dyDescent="0.3">
      <c r="A323" s="55" t="s">
        <v>109</v>
      </c>
      <c r="B323" s="89" t="s">
        <v>111</v>
      </c>
      <c r="C323" s="133">
        <f>C300*(E60)</f>
        <v>26</v>
      </c>
      <c r="D323" s="215">
        <v>18.2</v>
      </c>
      <c r="E323" s="41">
        <f t="shared" si="3"/>
        <v>473.2</v>
      </c>
      <c r="F323" s="38"/>
      <c r="G323" s="38"/>
    </row>
    <row r="324" spans="1:7" ht="15" customHeight="1" thickBot="1" x14ac:dyDescent="0.3">
      <c r="A324" s="55"/>
      <c r="B324" s="55"/>
      <c r="C324" s="55"/>
      <c r="D324" s="107"/>
      <c r="E324" s="97"/>
      <c r="F324" s="122">
        <f>SUM(E315:E323)</f>
        <v>37856</v>
      </c>
      <c r="G324" s="38"/>
    </row>
    <row r="325" spans="1:7" ht="13.5" thickBot="1" x14ac:dyDescent="0.3">
      <c r="F325" s="53"/>
      <c r="G325" s="38"/>
    </row>
    <row r="326" spans="1:7" ht="13.5" thickBot="1" x14ac:dyDescent="0.3">
      <c r="A326" s="135" t="s">
        <v>112</v>
      </c>
      <c r="B326" s="136"/>
      <c r="C326" s="136"/>
      <c r="D326" s="137"/>
      <c r="E326" s="138"/>
      <c r="F326" s="139">
        <f>F324+F311+F294+F281+F260+F246+F233+F212+F199+F178+F164+F150+F137+F116+F101+F82</f>
        <v>388815.51288188784</v>
      </c>
      <c r="G326" s="38"/>
    </row>
    <row r="328" spans="1:7" ht="13.5" thickBot="1" x14ac:dyDescent="0.3">
      <c r="G328" s="38"/>
    </row>
    <row r="329" spans="1:7" ht="16.149999999999999" customHeight="1" thickBot="1" x14ac:dyDescent="0.3">
      <c r="A329" s="140" t="s">
        <v>113</v>
      </c>
      <c r="B329" s="141"/>
      <c r="G329" s="38"/>
    </row>
    <row r="330" spans="1:7" ht="13.9" customHeight="1" thickBot="1" x14ac:dyDescent="0.3">
      <c r="G330" s="38"/>
    </row>
    <row r="331" spans="1:7" ht="15" customHeight="1" thickBot="1" x14ac:dyDescent="0.3">
      <c r="A331" s="142" t="s">
        <v>114</v>
      </c>
      <c r="G331" s="38"/>
    </row>
    <row r="332" spans="1:7" ht="27.75" customHeight="1" thickBot="1" x14ac:dyDescent="0.3">
      <c r="D332" s="38"/>
      <c r="E332" s="38"/>
      <c r="F332" s="38"/>
      <c r="G332" s="38"/>
    </row>
    <row r="333" spans="1:7" ht="24.75" thickBot="1" x14ac:dyDescent="0.3">
      <c r="A333" s="64" t="s">
        <v>44</v>
      </c>
      <c r="B333" s="65" t="s">
        <v>45</v>
      </c>
      <c r="C333" s="143" t="s">
        <v>115</v>
      </c>
      <c r="D333" s="66" t="s">
        <v>46</v>
      </c>
      <c r="E333" s="66" t="s">
        <v>47</v>
      </c>
      <c r="F333" s="67" t="s">
        <v>48</v>
      </c>
      <c r="G333" s="38"/>
    </row>
    <row r="334" spans="1:7" ht="15" customHeight="1" x14ac:dyDescent="0.25">
      <c r="A334" s="86" t="s">
        <v>116</v>
      </c>
      <c r="B334" s="87" t="s">
        <v>111</v>
      </c>
      <c r="C334" s="89">
        <v>12</v>
      </c>
      <c r="D334" s="88">
        <v>145</v>
      </c>
      <c r="E334" s="88">
        <f>IFERROR(D334/C334,0)</f>
        <v>12.083333333333334</v>
      </c>
      <c r="F334" s="85"/>
      <c r="G334" s="38"/>
    </row>
    <row r="335" spans="1:7" ht="15" customHeight="1" x14ac:dyDescent="0.25">
      <c r="A335" s="55" t="s">
        <v>117</v>
      </c>
      <c r="B335" s="89" t="s">
        <v>111</v>
      </c>
      <c r="C335" s="89">
        <v>6</v>
      </c>
      <c r="D335" s="88">
        <v>40.9</v>
      </c>
      <c r="E335" s="88">
        <f t="shared" ref="E335:E343" si="4">IFERROR(D335/C335,0)</f>
        <v>6.8166666666666664</v>
      </c>
      <c r="F335" s="85"/>
      <c r="G335" s="38"/>
    </row>
    <row r="336" spans="1:7" ht="15" customHeight="1" x14ac:dyDescent="0.25">
      <c r="A336" s="55" t="s">
        <v>118</v>
      </c>
      <c r="B336" s="89" t="s">
        <v>111</v>
      </c>
      <c r="C336" s="89">
        <v>6</v>
      </c>
      <c r="D336" s="88">
        <v>19.899999999999999</v>
      </c>
      <c r="E336" s="88">
        <f t="shared" si="4"/>
        <v>3.3166666666666664</v>
      </c>
      <c r="F336" s="85"/>
      <c r="G336" s="38"/>
    </row>
    <row r="337" spans="1:7" ht="15" customHeight="1" x14ac:dyDescent="0.25">
      <c r="A337" s="55" t="s">
        <v>119</v>
      </c>
      <c r="B337" s="89" t="s">
        <v>111</v>
      </c>
      <c r="C337" s="89">
        <v>6</v>
      </c>
      <c r="D337" s="88">
        <v>6.5</v>
      </c>
      <c r="E337" s="88">
        <f t="shared" si="4"/>
        <v>1.0833333333333333</v>
      </c>
      <c r="F337" s="85"/>
      <c r="G337" s="38"/>
    </row>
    <row r="338" spans="1:7" ht="15" customHeight="1" x14ac:dyDescent="0.25">
      <c r="A338" s="55" t="s">
        <v>120</v>
      </c>
      <c r="B338" s="89" t="s">
        <v>121</v>
      </c>
      <c r="C338" s="89">
        <v>6</v>
      </c>
      <c r="D338" s="88">
        <v>34.75</v>
      </c>
      <c r="E338" s="88">
        <f t="shared" si="4"/>
        <v>5.791666666666667</v>
      </c>
      <c r="F338" s="85"/>
    </row>
    <row r="339" spans="1:7" ht="15" customHeight="1" x14ac:dyDescent="0.25">
      <c r="A339" s="55" t="s">
        <v>122</v>
      </c>
      <c r="B339" s="89" t="s">
        <v>121</v>
      </c>
      <c r="C339" s="89">
        <v>3</v>
      </c>
      <c r="D339" s="88">
        <v>1.65</v>
      </c>
      <c r="E339" s="88">
        <f t="shared" si="4"/>
        <v>0.54999999999999993</v>
      </c>
      <c r="F339" s="85"/>
    </row>
    <row r="340" spans="1:7" s="145" customFormat="1" ht="15" customHeight="1" x14ac:dyDescent="0.2">
      <c r="A340" s="55" t="s">
        <v>123</v>
      </c>
      <c r="B340" s="89" t="s">
        <v>111</v>
      </c>
      <c r="C340" s="89">
        <v>6</v>
      </c>
      <c r="D340" s="88">
        <v>60</v>
      </c>
      <c r="E340" s="88">
        <f t="shared" si="4"/>
        <v>10</v>
      </c>
      <c r="F340" s="85"/>
      <c r="G340" s="144"/>
    </row>
    <row r="341" spans="1:7" ht="15" customHeight="1" x14ac:dyDescent="0.2">
      <c r="A341" s="146" t="s">
        <v>124</v>
      </c>
      <c r="B341" s="147" t="s">
        <v>111</v>
      </c>
      <c r="C341" s="89">
        <v>6</v>
      </c>
      <c r="D341" s="88">
        <v>26.99</v>
      </c>
      <c r="E341" s="88">
        <f t="shared" si="4"/>
        <v>4.4983333333333331</v>
      </c>
      <c r="F341" s="148"/>
    </row>
    <row r="342" spans="1:7" ht="15" customHeight="1" x14ac:dyDescent="0.25">
      <c r="A342" s="55" t="s">
        <v>125</v>
      </c>
      <c r="B342" s="89" t="s">
        <v>121</v>
      </c>
      <c r="C342" s="89">
        <v>0.5</v>
      </c>
      <c r="D342" s="88">
        <v>9.82</v>
      </c>
      <c r="E342" s="88">
        <f t="shared" si="4"/>
        <v>19.64</v>
      </c>
      <c r="F342" s="85"/>
    </row>
    <row r="343" spans="1:7" ht="15" customHeight="1" x14ac:dyDescent="0.25">
      <c r="A343" s="55" t="s">
        <v>126</v>
      </c>
      <c r="B343" s="89" t="s">
        <v>127</v>
      </c>
      <c r="C343" s="89">
        <v>1</v>
      </c>
      <c r="D343" s="88">
        <v>16.899999999999999</v>
      </c>
      <c r="E343" s="88">
        <f t="shared" si="4"/>
        <v>16.899999999999999</v>
      </c>
      <c r="F343" s="85"/>
    </row>
    <row r="344" spans="1:7" ht="15" customHeight="1" x14ac:dyDescent="0.25">
      <c r="A344" s="55" t="s">
        <v>128</v>
      </c>
      <c r="B344" s="89" t="s">
        <v>129</v>
      </c>
      <c r="C344" s="89">
        <v>1</v>
      </c>
      <c r="D344" s="88">
        <v>20</v>
      </c>
      <c r="E344" s="90">
        <f>C344*D344</f>
        <v>20</v>
      </c>
      <c r="F344" s="85"/>
    </row>
    <row r="345" spans="1:7" ht="15" customHeight="1" thickBot="1" x14ac:dyDescent="0.3">
      <c r="A345" s="55" t="s">
        <v>60</v>
      </c>
      <c r="B345" s="89" t="s">
        <v>61</v>
      </c>
      <c r="C345" s="211">
        <f>E47+E48</f>
        <v>50</v>
      </c>
      <c r="D345" s="90">
        <f>SUM(E334:E344)</f>
        <v>100.68</v>
      </c>
      <c r="E345" s="90">
        <f>C345*D345</f>
        <v>5034</v>
      </c>
      <c r="F345" s="85"/>
    </row>
    <row r="346" spans="1:7" ht="15" customHeight="1" thickBot="1" x14ac:dyDescent="0.3">
      <c r="D346" s="107" t="s">
        <v>62</v>
      </c>
      <c r="E346" s="97">
        <f>$B$67</f>
        <v>1</v>
      </c>
      <c r="F346" s="84">
        <f>E345*E346</f>
        <v>5034</v>
      </c>
    </row>
    <row r="347" spans="1:7" ht="13.9" customHeight="1" thickBot="1" x14ac:dyDescent="0.3"/>
    <row r="348" spans="1:7" ht="16.149999999999999" customHeight="1" thickBot="1" x14ac:dyDescent="0.3">
      <c r="A348" s="142" t="s">
        <v>130</v>
      </c>
    </row>
    <row r="349" spans="1:7" ht="13.5" thickBot="1" x14ac:dyDescent="0.3">
      <c r="D349" s="38"/>
      <c r="E349" s="38"/>
      <c r="F349" s="38"/>
    </row>
    <row r="350" spans="1:7" ht="24.75" thickBot="1" x14ac:dyDescent="0.3">
      <c r="A350" s="64" t="s">
        <v>44</v>
      </c>
      <c r="B350" s="65" t="s">
        <v>45</v>
      </c>
      <c r="C350" s="143" t="s">
        <v>115</v>
      </c>
      <c r="D350" s="66" t="s">
        <v>46</v>
      </c>
      <c r="E350" s="66" t="s">
        <v>47</v>
      </c>
      <c r="F350" s="67" t="s">
        <v>48</v>
      </c>
    </row>
    <row r="351" spans="1:7" ht="15" customHeight="1" x14ac:dyDescent="0.25">
      <c r="A351" s="86" t="s">
        <v>116</v>
      </c>
      <c r="B351" s="87" t="s">
        <v>111</v>
      </c>
      <c r="C351" s="89">
        <v>12</v>
      </c>
      <c r="D351" s="88">
        <f>+D334</f>
        <v>145</v>
      </c>
      <c r="E351" s="88">
        <f>IFERROR(D351/C351,0)</f>
        <v>12.083333333333334</v>
      </c>
      <c r="F351" s="85"/>
    </row>
    <row r="352" spans="1:7" ht="15" customHeight="1" x14ac:dyDescent="0.25">
      <c r="A352" s="55" t="s">
        <v>117</v>
      </c>
      <c r="B352" s="89" t="s">
        <v>111</v>
      </c>
      <c r="C352" s="89">
        <v>6</v>
      </c>
      <c r="D352" s="90">
        <f>+D335</f>
        <v>40.9</v>
      </c>
      <c r="E352" s="88">
        <f t="shared" ref="E352:E356" si="5">IFERROR(D352/C352,0)</f>
        <v>6.8166666666666664</v>
      </c>
      <c r="F352" s="85"/>
    </row>
    <row r="353" spans="1:7" ht="15" customHeight="1" x14ac:dyDescent="0.25">
      <c r="A353" s="55" t="s">
        <v>118</v>
      </c>
      <c r="B353" s="89" t="s">
        <v>111</v>
      </c>
      <c r="C353" s="89">
        <v>6</v>
      </c>
      <c r="D353" s="90">
        <f>+D336</f>
        <v>19.899999999999999</v>
      </c>
      <c r="E353" s="88">
        <f t="shared" si="5"/>
        <v>3.3166666666666664</v>
      </c>
      <c r="F353" s="85"/>
    </row>
    <row r="354" spans="1:7" ht="15" customHeight="1" x14ac:dyDescent="0.25">
      <c r="A354" s="55" t="s">
        <v>120</v>
      </c>
      <c r="B354" s="89" t="s">
        <v>121</v>
      </c>
      <c r="C354" s="89">
        <v>6</v>
      </c>
      <c r="D354" s="90">
        <f>+D338</f>
        <v>34.75</v>
      </c>
      <c r="E354" s="88">
        <f t="shared" si="5"/>
        <v>5.791666666666667</v>
      </c>
      <c r="F354" s="85"/>
      <c r="G354" s="38"/>
    </row>
    <row r="355" spans="1:7" ht="15" customHeight="1" x14ac:dyDescent="0.25">
      <c r="A355" s="55" t="s">
        <v>123</v>
      </c>
      <c r="B355" s="89" t="s">
        <v>111</v>
      </c>
      <c r="C355" s="89">
        <v>6</v>
      </c>
      <c r="D355" s="90">
        <f>+D340</f>
        <v>60</v>
      </c>
      <c r="E355" s="88">
        <f t="shared" si="5"/>
        <v>10</v>
      </c>
      <c r="F355" s="85"/>
      <c r="G355" s="38"/>
    </row>
    <row r="356" spans="1:7" ht="15" customHeight="1" x14ac:dyDescent="0.25">
      <c r="A356" s="55" t="s">
        <v>126</v>
      </c>
      <c r="B356" s="89" t="s">
        <v>127</v>
      </c>
      <c r="C356" s="89">
        <v>1</v>
      </c>
      <c r="D356" s="90">
        <f>+D343</f>
        <v>16.899999999999999</v>
      </c>
      <c r="E356" s="88">
        <f t="shared" si="5"/>
        <v>16.899999999999999</v>
      </c>
      <c r="F356" s="85"/>
      <c r="G356" s="38"/>
    </row>
    <row r="357" spans="1:7" ht="15" customHeight="1" x14ac:dyDescent="0.25">
      <c r="A357" s="55" t="s">
        <v>128</v>
      </c>
      <c r="B357" s="89" t="s">
        <v>129</v>
      </c>
      <c r="C357" s="149">
        <v>1</v>
      </c>
      <c r="D357" s="88">
        <f>+D344</f>
        <v>20</v>
      </c>
      <c r="E357" s="90">
        <f>C357*D357</f>
        <v>20</v>
      </c>
      <c r="F357" s="85"/>
      <c r="G357" s="38"/>
    </row>
    <row r="358" spans="1:7" ht="15" customHeight="1" thickBot="1" x14ac:dyDescent="0.3">
      <c r="A358" s="55" t="s">
        <v>60</v>
      </c>
      <c r="B358" s="89" t="s">
        <v>61</v>
      </c>
      <c r="C358" s="220">
        <v>30</v>
      </c>
      <c r="D358" s="90">
        <f>SUM(D351:D357)</f>
        <v>337.45</v>
      </c>
      <c r="E358" s="90">
        <f>C358*D358</f>
        <v>10123.5</v>
      </c>
      <c r="F358" s="85"/>
      <c r="G358" s="38"/>
    </row>
    <row r="359" spans="1:7" ht="15" customHeight="1" thickBot="1" x14ac:dyDescent="0.3">
      <c r="D359" s="107" t="s">
        <v>62</v>
      </c>
      <c r="E359" s="97">
        <f>$B$67</f>
        <v>1</v>
      </c>
      <c r="F359" s="84">
        <f>E358*E359</f>
        <v>10123.5</v>
      </c>
      <c r="G359" s="38"/>
    </row>
    <row r="360" spans="1:7" ht="11.25" customHeight="1" thickBot="1" x14ac:dyDescent="0.3">
      <c r="D360" s="150"/>
      <c r="E360" s="53"/>
      <c r="F360" s="151"/>
      <c r="G360" s="38"/>
    </row>
    <row r="361" spans="1:7" ht="16.149999999999999" customHeight="1" thickBot="1" x14ac:dyDescent="0.3">
      <c r="A361" s="140" t="s">
        <v>131</v>
      </c>
      <c r="B361" s="152"/>
      <c r="C361" s="152"/>
      <c r="D361" s="153"/>
      <c r="E361" s="154"/>
      <c r="F361" s="155">
        <f>+F346+F359</f>
        <v>15157.5</v>
      </c>
      <c r="G361" s="38"/>
    </row>
    <row r="362" spans="1:7" ht="11.25" customHeight="1" x14ac:dyDescent="0.25">
      <c r="G362" s="38"/>
    </row>
    <row r="363" spans="1:7" ht="13.5" thickBot="1" x14ac:dyDescent="0.3">
      <c r="G363" s="38"/>
    </row>
    <row r="364" spans="1:7" ht="16.149999999999999" customHeight="1" thickBot="1" x14ac:dyDescent="0.3">
      <c r="A364" s="156" t="s">
        <v>132</v>
      </c>
      <c r="B364" s="157"/>
      <c r="G364" s="38"/>
    </row>
    <row r="365" spans="1:7" ht="13.5" thickBot="1" x14ac:dyDescent="0.3">
      <c r="G365" s="38"/>
    </row>
    <row r="366" spans="1:7" ht="15" customHeight="1" thickBot="1" x14ac:dyDescent="0.3">
      <c r="A366" s="142" t="s">
        <v>133</v>
      </c>
      <c r="G366" s="38"/>
    </row>
    <row r="367" spans="1:7" ht="11.25" customHeight="1" x14ac:dyDescent="0.25">
      <c r="G367" s="38"/>
    </row>
    <row r="368" spans="1:7" ht="16.149999999999999" customHeight="1" thickBot="1" x14ac:dyDescent="0.3">
      <c r="A368" s="158" t="s">
        <v>134</v>
      </c>
      <c r="G368" s="38"/>
    </row>
    <row r="369" spans="1:10" ht="13.5" thickBot="1" x14ac:dyDescent="0.3">
      <c r="A369" s="64" t="s">
        <v>44</v>
      </c>
      <c r="B369" s="65" t="s">
        <v>45</v>
      </c>
      <c r="C369" s="65" t="s">
        <v>28</v>
      </c>
      <c r="D369" s="66" t="s">
        <v>46</v>
      </c>
      <c r="E369" s="66" t="s">
        <v>47</v>
      </c>
      <c r="F369" s="67" t="s">
        <v>48</v>
      </c>
      <c r="G369" s="38"/>
    </row>
    <row r="370" spans="1:10" ht="15" customHeight="1" x14ac:dyDescent="0.25">
      <c r="A370" s="86" t="s">
        <v>135</v>
      </c>
      <c r="B370" s="87" t="s">
        <v>111</v>
      </c>
      <c r="C370" s="87">
        <v>1</v>
      </c>
      <c r="D370" s="88">
        <v>340000</v>
      </c>
      <c r="E370" s="88">
        <f>C370*D370</f>
        <v>340000</v>
      </c>
      <c r="F370" s="85"/>
      <c r="G370" s="38"/>
    </row>
    <row r="371" spans="1:10" ht="15" customHeight="1" x14ac:dyDescent="0.25">
      <c r="A371" s="55" t="s">
        <v>136</v>
      </c>
      <c r="B371" s="89" t="s">
        <v>137</v>
      </c>
      <c r="C371" s="89">
        <v>5</v>
      </c>
      <c r="D371" s="90"/>
      <c r="E371" s="90"/>
      <c r="F371" s="85"/>
      <c r="G371" s="38"/>
    </row>
    <row r="372" spans="1:10" ht="15" customHeight="1" x14ac:dyDescent="0.25">
      <c r="A372" s="55" t="s">
        <v>138</v>
      </c>
      <c r="B372" s="89" t="s">
        <v>137</v>
      </c>
      <c r="C372" s="89">
        <v>0</v>
      </c>
      <c r="D372" s="90"/>
      <c r="E372" s="90"/>
      <c r="F372" s="159"/>
      <c r="I372" s="160"/>
      <c r="J372" s="160"/>
    </row>
    <row r="373" spans="1:10" ht="15" customHeight="1" x14ac:dyDescent="0.25">
      <c r="A373" s="55" t="s">
        <v>139</v>
      </c>
      <c r="B373" s="89" t="s">
        <v>5</v>
      </c>
      <c r="C373" s="96">
        <v>55.68</v>
      </c>
      <c r="D373" s="90">
        <f>E370</f>
        <v>340000</v>
      </c>
      <c r="E373" s="90">
        <f>C373*D373/100</f>
        <v>189312</v>
      </c>
      <c r="F373" s="85"/>
    </row>
    <row r="374" spans="1:10" ht="15" customHeight="1" thickBot="1" x14ac:dyDescent="0.3">
      <c r="A374" s="161" t="s">
        <v>140</v>
      </c>
      <c r="B374" s="162" t="s">
        <v>50</v>
      </c>
      <c r="C374" s="162">
        <f>C371*12</f>
        <v>60</v>
      </c>
      <c r="D374" s="163">
        <f>IF(C372&lt;=C371,E373,0)</f>
        <v>189312</v>
      </c>
      <c r="E374" s="163">
        <f>IFERROR(D374/C374,0)</f>
        <v>3155.2</v>
      </c>
      <c r="F374" s="85"/>
    </row>
    <row r="375" spans="1:10" ht="15" customHeight="1" thickTop="1" x14ac:dyDescent="0.25">
      <c r="A375" s="86" t="s">
        <v>141</v>
      </c>
      <c r="B375" s="87" t="s">
        <v>111</v>
      </c>
      <c r="C375" s="87">
        <f>C370</f>
        <v>1</v>
      </c>
      <c r="D375" s="88">
        <v>172000</v>
      </c>
      <c r="E375" s="88">
        <f>C375*D375</f>
        <v>172000</v>
      </c>
      <c r="F375" s="85"/>
      <c r="G375" s="38"/>
    </row>
    <row r="376" spans="1:10" ht="15" customHeight="1" x14ac:dyDescent="0.25">
      <c r="A376" s="55" t="s">
        <v>142</v>
      </c>
      <c r="B376" s="89" t="s">
        <v>137</v>
      </c>
      <c r="C376" s="89">
        <v>5</v>
      </c>
      <c r="D376" s="90"/>
      <c r="E376" s="90"/>
      <c r="F376" s="85"/>
    </row>
    <row r="377" spans="1:10" ht="15" customHeight="1" x14ac:dyDescent="0.25">
      <c r="A377" s="55" t="s">
        <v>143</v>
      </c>
      <c r="B377" s="89" t="s">
        <v>137</v>
      </c>
      <c r="C377" s="89">
        <v>0</v>
      </c>
      <c r="D377" s="90"/>
      <c r="E377" s="90"/>
      <c r="F377" s="159"/>
      <c r="I377" s="160"/>
      <c r="J377" s="160"/>
    </row>
    <row r="378" spans="1:10" ht="15" customHeight="1" x14ac:dyDescent="0.25">
      <c r="A378" s="55" t="s">
        <v>144</v>
      </c>
      <c r="B378" s="89" t="s">
        <v>5</v>
      </c>
      <c r="C378" s="90">
        <v>55.68</v>
      </c>
      <c r="D378" s="90">
        <f>E375</f>
        <v>172000</v>
      </c>
      <c r="E378" s="90">
        <f>C378*D378/100</f>
        <v>95769.600000000006</v>
      </c>
      <c r="F378" s="85"/>
    </row>
    <row r="379" spans="1:10" ht="15" customHeight="1" x14ac:dyDescent="0.25">
      <c r="A379" s="99" t="s">
        <v>145</v>
      </c>
      <c r="B379" s="164" t="s">
        <v>50</v>
      </c>
      <c r="C379" s="164">
        <v>60</v>
      </c>
      <c r="D379" s="100">
        <f>IF(C377&lt;=C376,E378,0)</f>
        <v>95769.600000000006</v>
      </c>
      <c r="E379" s="100">
        <f>IFERROR(D379/C379,0)</f>
        <v>1596.16</v>
      </c>
      <c r="F379" s="85"/>
    </row>
    <row r="380" spans="1:10" ht="15" customHeight="1" x14ac:dyDescent="0.25">
      <c r="A380" s="92" t="s">
        <v>146</v>
      </c>
      <c r="B380" s="93"/>
      <c r="C380" s="93"/>
      <c r="D380" s="94"/>
      <c r="E380" s="95">
        <f>E374+E379</f>
        <v>4751.3599999999997</v>
      </c>
      <c r="F380" s="85"/>
    </row>
    <row r="381" spans="1:10" ht="15" customHeight="1" thickBot="1" x14ac:dyDescent="0.3">
      <c r="A381" s="99" t="s">
        <v>147</v>
      </c>
      <c r="B381" s="164" t="s">
        <v>111</v>
      </c>
      <c r="C381" s="89">
        <v>11</v>
      </c>
      <c r="D381" s="100">
        <f>E380</f>
        <v>4751.3599999999997</v>
      </c>
      <c r="E381" s="95">
        <f>C381*D381</f>
        <v>52264.959999999999</v>
      </c>
      <c r="F381" s="85"/>
    </row>
    <row r="382" spans="1:10" ht="15" customHeight="1" thickBot="1" x14ac:dyDescent="0.3">
      <c r="B382" s="165"/>
      <c r="C382" s="165"/>
      <c r="D382" s="107" t="s">
        <v>62</v>
      </c>
      <c r="E382" s="41">
        <f>$B$67</f>
        <v>1</v>
      </c>
      <c r="F382" s="84">
        <f>E381*E382</f>
        <v>52264.959999999999</v>
      </c>
    </row>
    <row r="383" spans="1:10" ht="11.25" customHeight="1" x14ac:dyDescent="0.25">
      <c r="A383" s="165"/>
    </row>
    <row r="384" spans="1:10" ht="16.149999999999999" customHeight="1" thickBot="1" x14ac:dyDescent="0.3">
      <c r="A384" s="158" t="s">
        <v>148</v>
      </c>
    </row>
    <row r="385" spans="1:10" ht="15" customHeight="1" thickBot="1" x14ac:dyDescent="0.3">
      <c r="A385" s="64" t="s">
        <v>44</v>
      </c>
      <c r="B385" s="166" t="s">
        <v>45</v>
      </c>
      <c r="C385" s="167" t="s">
        <v>28</v>
      </c>
      <c r="D385" s="168" t="s">
        <v>46</v>
      </c>
      <c r="E385" s="169" t="s">
        <v>47</v>
      </c>
      <c r="F385" s="170" t="s">
        <v>48</v>
      </c>
      <c r="I385" s="160"/>
      <c r="J385" s="160"/>
    </row>
    <row r="386" spans="1:10" ht="15" customHeight="1" x14ac:dyDescent="0.25">
      <c r="A386" s="86" t="s">
        <v>149</v>
      </c>
      <c r="B386" s="87" t="s">
        <v>111</v>
      </c>
      <c r="C386" s="87">
        <v>1</v>
      </c>
      <c r="D386" s="90">
        <f>D370</f>
        <v>340000</v>
      </c>
      <c r="E386" s="88">
        <f>C386*D386</f>
        <v>340000</v>
      </c>
      <c r="F386" s="159"/>
      <c r="I386" s="160"/>
      <c r="J386" s="160"/>
    </row>
    <row r="387" spans="1:10" ht="15" customHeight="1" x14ac:dyDescent="0.25">
      <c r="A387" s="55" t="s">
        <v>150</v>
      </c>
      <c r="B387" s="89" t="s">
        <v>5</v>
      </c>
      <c r="C387" s="89">
        <v>5.15</v>
      </c>
      <c r="D387" s="90"/>
      <c r="E387" s="90"/>
      <c r="F387" s="159"/>
      <c r="I387" s="160"/>
      <c r="J387" s="160"/>
    </row>
    <row r="388" spans="1:10" ht="15" customHeight="1" x14ac:dyDescent="0.25">
      <c r="A388" s="55" t="s">
        <v>151</v>
      </c>
      <c r="B388" s="89" t="s">
        <v>55</v>
      </c>
      <c r="C388" s="171">
        <f>IFERROR(IF(C372&lt;=C371,E370-(C373/(100*C371)*C372)*E370,E370-E373),0)</f>
        <v>340000</v>
      </c>
      <c r="D388" s="90"/>
      <c r="E388" s="90"/>
      <c r="F388" s="159"/>
      <c r="I388" s="160"/>
      <c r="J388" s="160"/>
    </row>
    <row r="389" spans="1:10" ht="15" customHeight="1" x14ac:dyDescent="0.25">
      <c r="A389" s="55" t="s">
        <v>152</v>
      </c>
      <c r="B389" s="89" t="s">
        <v>55</v>
      </c>
      <c r="C389" s="90">
        <f>IFERROR(IF(C372&gt;=C371,C388,((((C388)-(E370-E373))*(((C371-C372)+1)/(2*(C371-C372))))+(E370-E373))),0)</f>
        <v>264275.20000000001</v>
      </c>
      <c r="D389" s="90"/>
      <c r="E389" s="90"/>
      <c r="F389" s="159"/>
      <c r="I389" s="160"/>
      <c r="J389" s="160"/>
    </row>
    <row r="390" spans="1:10" ht="15" customHeight="1" thickBot="1" x14ac:dyDescent="0.3">
      <c r="A390" s="161" t="s">
        <v>153</v>
      </c>
      <c r="B390" s="162" t="s">
        <v>55</v>
      </c>
      <c r="C390" s="162"/>
      <c r="D390" s="163">
        <f>C387*C389/12/100</f>
        <v>1134.181066666667</v>
      </c>
      <c r="E390" s="163">
        <f>D390</f>
        <v>1134.181066666667</v>
      </c>
      <c r="F390" s="159"/>
      <c r="I390" s="160"/>
      <c r="J390" s="160"/>
    </row>
    <row r="391" spans="1:10" ht="15" customHeight="1" thickTop="1" x14ac:dyDescent="0.25">
      <c r="A391" s="86" t="s">
        <v>154</v>
      </c>
      <c r="B391" s="87" t="s">
        <v>111</v>
      </c>
      <c r="C391" s="87">
        <f>C375</f>
        <v>1</v>
      </c>
      <c r="D391" s="88">
        <f>D375</f>
        <v>172000</v>
      </c>
      <c r="E391" s="88">
        <f>C391*D391</f>
        <v>172000</v>
      </c>
      <c r="F391" s="159"/>
      <c r="I391" s="160"/>
      <c r="J391" s="160"/>
    </row>
    <row r="392" spans="1:10" ht="15" customHeight="1" x14ac:dyDescent="0.25">
      <c r="A392" s="55" t="s">
        <v>150</v>
      </c>
      <c r="B392" s="89" t="s">
        <v>5</v>
      </c>
      <c r="C392" s="89">
        <f>C387</f>
        <v>5.15</v>
      </c>
      <c r="D392" s="90"/>
      <c r="E392" s="90"/>
      <c r="F392" s="159"/>
      <c r="G392" s="71"/>
      <c r="I392" s="160"/>
      <c r="J392" s="160"/>
    </row>
    <row r="393" spans="1:10" ht="15" customHeight="1" x14ac:dyDescent="0.25">
      <c r="A393" s="55" t="s">
        <v>155</v>
      </c>
      <c r="B393" s="89" t="s">
        <v>55</v>
      </c>
      <c r="C393" s="171">
        <f>IFERROR(IF(C377&lt;=C376,E375-(C378/(100*C376)*C377)*E375,E375-E378),0)</f>
        <v>172000</v>
      </c>
      <c r="D393" s="90"/>
      <c r="E393" s="90"/>
      <c r="F393" s="159"/>
      <c r="I393" s="160"/>
      <c r="J393" s="160"/>
    </row>
    <row r="394" spans="1:10" ht="15" customHeight="1" x14ac:dyDescent="0.25">
      <c r="A394" s="55" t="s">
        <v>156</v>
      </c>
      <c r="B394" s="89" t="s">
        <v>55</v>
      </c>
      <c r="C394" s="90">
        <f>IFERROR(IF(C377&gt;=C376,C393,((((C393)-(E375-E378))*(((C376-C377)+1)/(2*(C376-C377))))+(E375-E378))),0)</f>
        <v>133692.16</v>
      </c>
      <c r="D394" s="90"/>
      <c r="E394" s="90"/>
      <c r="F394" s="159"/>
      <c r="I394" s="160"/>
      <c r="J394" s="160"/>
    </row>
    <row r="395" spans="1:10" ht="15" customHeight="1" x14ac:dyDescent="0.25">
      <c r="A395" s="99" t="s">
        <v>157</v>
      </c>
      <c r="B395" s="164" t="s">
        <v>55</v>
      </c>
      <c r="C395" s="164"/>
      <c r="D395" s="100">
        <f>C392*C394/12/100</f>
        <v>573.76218666666671</v>
      </c>
      <c r="E395" s="100">
        <f>D395</f>
        <v>573.76218666666671</v>
      </c>
      <c r="F395" s="159"/>
      <c r="I395" s="160"/>
      <c r="J395" s="160"/>
    </row>
    <row r="396" spans="1:10" ht="15" customHeight="1" x14ac:dyDescent="0.25">
      <c r="A396" s="92" t="s">
        <v>146</v>
      </c>
      <c r="B396" s="93"/>
      <c r="C396" s="93"/>
      <c r="D396" s="94"/>
      <c r="E396" s="95">
        <f>E390+E395</f>
        <v>1707.9432533333338</v>
      </c>
      <c r="F396" s="159"/>
      <c r="I396" s="160"/>
      <c r="J396" s="160"/>
    </row>
    <row r="397" spans="1:10" ht="15" customHeight="1" thickBot="1" x14ac:dyDescent="0.3">
      <c r="A397" s="99" t="s">
        <v>147</v>
      </c>
      <c r="B397" s="164" t="s">
        <v>111</v>
      </c>
      <c r="C397" s="89">
        <f>C381</f>
        <v>11</v>
      </c>
      <c r="D397" s="100">
        <f>E396</f>
        <v>1707.9432533333338</v>
      </c>
      <c r="E397" s="95">
        <f>C397*D397</f>
        <v>18787.375786666671</v>
      </c>
      <c r="F397" s="159"/>
      <c r="I397" s="160"/>
      <c r="J397" s="160"/>
    </row>
    <row r="398" spans="1:10" ht="15" customHeight="1" thickBot="1" x14ac:dyDescent="0.3">
      <c r="C398" s="81"/>
      <c r="D398" s="107" t="s">
        <v>62</v>
      </c>
      <c r="E398" s="41">
        <f>$B$67</f>
        <v>1</v>
      </c>
      <c r="F398" s="84">
        <f>E397*E398</f>
        <v>18787.375786666671</v>
      </c>
      <c r="I398" s="160"/>
      <c r="J398" s="160"/>
    </row>
    <row r="399" spans="1:10" ht="11.25" customHeight="1" x14ac:dyDescent="0.25">
      <c r="I399" s="160"/>
      <c r="J399" s="160"/>
    </row>
    <row r="400" spans="1:10" ht="16.149999999999999" customHeight="1" thickBot="1" x14ac:dyDescent="0.3">
      <c r="A400" s="172" t="s">
        <v>158</v>
      </c>
      <c r="D400" s="85"/>
      <c r="E400" s="85"/>
      <c r="F400" s="85"/>
      <c r="I400" s="160"/>
      <c r="J400" s="160"/>
    </row>
    <row r="401" spans="1:10" ht="15" customHeight="1" thickBot="1" x14ac:dyDescent="0.3">
      <c r="A401" s="111" t="s">
        <v>44</v>
      </c>
      <c r="B401" s="112" t="s">
        <v>45</v>
      </c>
      <c r="C401" s="112" t="s">
        <v>28</v>
      </c>
      <c r="D401" s="131" t="s">
        <v>46</v>
      </c>
      <c r="E401" s="131" t="s">
        <v>47</v>
      </c>
      <c r="F401" s="120" t="s">
        <v>48</v>
      </c>
      <c r="I401" s="160"/>
      <c r="J401" s="160"/>
    </row>
    <row r="402" spans="1:10" ht="15" customHeight="1" x14ac:dyDescent="0.25">
      <c r="A402" s="86" t="s">
        <v>159</v>
      </c>
      <c r="B402" s="87" t="s">
        <v>111</v>
      </c>
      <c r="C402" s="88">
        <f>C381</f>
        <v>11</v>
      </c>
      <c r="D402" s="88">
        <f>0.01*($E$370)</f>
        <v>3400</v>
      </c>
      <c r="E402" s="88">
        <f>C402*D402</f>
        <v>37400</v>
      </c>
      <c r="F402" s="85"/>
      <c r="I402" s="160"/>
      <c r="J402" s="160"/>
    </row>
    <row r="403" spans="1:10" ht="15" customHeight="1" x14ac:dyDescent="0.25">
      <c r="A403" s="55" t="s">
        <v>160</v>
      </c>
      <c r="B403" s="89" t="s">
        <v>111</v>
      </c>
      <c r="C403" s="88">
        <f>C381</f>
        <v>11</v>
      </c>
      <c r="D403" s="90">
        <v>66.7</v>
      </c>
      <c r="E403" s="90">
        <f>C403*D403</f>
        <v>733.7</v>
      </c>
      <c r="F403" s="85"/>
      <c r="I403" s="160"/>
      <c r="J403" s="160"/>
    </row>
    <row r="404" spans="1:10" ht="15" customHeight="1" x14ac:dyDescent="0.25">
      <c r="A404" s="55" t="s">
        <v>161</v>
      </c>
      <c r="B404" s="89" t="s">
        <v>111</v>
      </c>
      <c r="C404" s="88">
        <f>C381</f>
        <v>11</v>
      </c>
      <c r="D404" s="90">
        <v>3716.75</v>
      </c>
      <c r="E404" s="90">
        <f>C404*D404</f>
        <v>40884.25</v>
      </c>
      <c r="F404" s="109"/>
      <c r="I404" s="160"/>
      <c r="J404" s="160"/>
    </row>
    <row r="405" spans="1:10" ht="15" customHeight="1" thickBot="1" x14ac:dyDescent="0.3">
      <c r="A405" s="99" t="s">
        <v>162</v>
      </c>
      <c r="B405" s="164" t="s">
        <v>50</v>
      </c>
      <c r="C405" s="164">
        <v>12</v>
      </c>
      <c r="D405" s="100">
        <f>SUM(E402:E404)</f>
        <v>79017.95</v>
      </c>
      <c r="E405" s="100">
        <f>D405/C405</f>
        <v>6584.8291666666664</v>
      </c>
      <c r="F405" s="85"/>
      <c r="I405" s="160"/>
      <c r="J405" s="160"/>
    </row>
    <row r="406" spans="1:10" ht="15" customHeight="1" thickBot="1" x14ac:dyDescent="0.3">
      <c r="D406" s="107" t="s">
        <v>62</v>
      </c>
      <c r="E406" s="97">
        <f>$B$67</f>
        <v>1</v>
      </c>
      <c r="F406" s="84">
        <f>E405*E406</f>
        <v>6584.8291666666664</v>
      </c>
      <c r="I406" s="160"/>
      <c r="J406" s="160"/>
    </row>
    <row r="407" spans="1:10" ht="11.25" customHeight="1" x14ac:dyDescent="0.25">
      <c r="I407" s="160"/>
      <c r="J407" s="160"/>
    </row>
    <row r="408" spans="1:10" ht="13.5" thickBot="1" x14ac:dyDescent="0.3">
      <c r="A408" s="172" t="s">
        <v>163</v>
      </c>
      <c r="B408" s="173"/>
      <c r="I408" s="160"/>
      <c r="J408" s="160"/>
    </row>
    <row r="409" spans="1:10" ht="16.149999999999999" customHeight="1" thickBot="1" x14ac:dyDescent="0.3">
      <c r="A409" s="174" t="s">
        <v>164</v>
      </c>
      <c r="B409" s="216">
        <v>36706.36</v>
      </c>
      <c r="G409" s="71"/>
      <c r="I409" s="160"/>
      <c r="J409" s="160"/>
    </row>
    <row r="410" spans="1:10" ht="13.5" thickBot="1" x14ac:dyDescent="0.3">
      <c r="B410" s="173"/>
      <c r="I410" s="160"/>
      <c r="J410" s="160"/>
    </row>
    <row r="411" spans="1:10" ht="15" customHeight="1" thickBot="1" x14ac:dyDescent="0.3">
      <c r="A411" s="64" t="s">
        <v>44</v>
      </c>
      <c r="B411" s="65" t="s">
        <v>45</v>
      </c>
      <c r="C411" s="65" t="s">
        <v>165</v>
      </c>
      <c r="D411" s="66" t="s">
        <v>46</v>
      </c>
      <c r="E411" s="66" t="s">
        <v>47</v>
      </c>
      <c r="F411" s="67" t="s">
        <v>48</v>
      </c>
      <c r="I411" s="160"/>
      <c r="J411" s="160"/>
    </row>
    <row r="412" spans="1:10" ht="15" customHeight="1" x14ac:dyDescent="0.25">
      <c r="A412" s="86" t="s">
        <v>166</v>
      </c>
      <c r="B412" s="87" t="s">
        <v>167</v>
      </c>
      <c r="C412" s="87">
        <v>2</v>
      </c>
      <c r="D412" s="175">
        <v>4.7089999999999996</v>
      </c>
      <c r="E412" s="88"/>
      <c r="F412" s="85"/>
      <c r="G412" s="71"/>
      <c r="I412" s="160"/>
      <c r="J412" s="160"/>
    </row>
    <row r="413" spans="1:10" ht="15" customHeight="1" x14ac:dyDescent="0.25">
      <c r="A413" s="55" t="s">
        <v>168</v>
      </c>
      <c r="B413" s="89" t="s">
        <v>169</v>
      </c>
      <c r="C413" s="217">
        <f>B409</f>
        <v>36706.36</v>
      </c>
      <c r="D413" s="175">
        <f>IFERROR(+D412/C412,"-")</f>
        <v>2.3544999999999998</v>
      </c>
      <c r="E413" s="90">
        <f>IFERROR(C413*D413,0)</f>
        <v>86425.124619999988</v>
      </c>
      <c r="F413" s="85"/>
      <c r="I413" s="160"/>
      <c r="J413" s="160"/>
    </row>
    <row r="414" spans="1:10" ht="15" customHeight="1" x14ac:dyDescent="0.25">
      <c r="A414" s="55" t="s">
        <v>170</v>
      </c>
      <c r="B414" s="89" t="s">
        <v>171</v>
      </c>
      <c r="C414" s="89">
        <v>2.5</v>
      </c>
      <c r="D414" s="90">
        <v>25</v>
      </c>
      <c r="E414" s="90"/>
      <c r="F414" s="85"/>
      <c r="G414" s="85"/>
      <c r="I414" s="160"/>
      <c r="J414" s="160"/>
    </row>
    <row r="415" spans="1:10" ht="15" customHeight="1" x14ac:dyDescent="0.25">
      <c r="A415" s="55" t="s">
        <v>172</v>
      </c>
      <c r="B415" s="89" t="s">
        <v>169</v>
      </c>
      <c r="C415" s="176">
        <f>C413</f>
        <v>36706.36</v>
      </c>
      <c r="D415" s="177">
        <f>+C414*D414/1000</f>
        <v>6.25E-2</v>
      </c>
      <c r="E415" s="90">
        <f>C415*D415</f>
        <v>2294.1475</v>
      </c>
      <c r="F415" s="85"/>
      <c r="G415" s="85"/>
      <c r="I415" s="160"/>
      <c r="J415" s="160"/>
    </row>
    <row r="416" spans="1:10" ht="15" customHeight="1" x14ac:dyDescent="0.25">
      <c r="A416" s="55" t="s">
        <v>173</v>
      </c>
      <c r="B416" s="89" t="s">
        <v>171</v>
      </c>
      <c r="C416" s="89">
        <v>0.85</v>
      </c>
      <c r="D416" s="90">
        <v>29.99</v>
      </c>
      <c r="E416" s="90"/>
      <c r="F416" s="85"/>
      <c r="G416" s="85"/>
      <c r="I416" s="160"/>
      <c r="J416" s="160"/>
    </row>
    <row r="417" spans="1:10" ht="15" customHeight="1" x14ac:dyDescent="0.25">
      <c r="A417" s="55" t="s">
        <v>174</v>
      </c>
      <c r="B417" s="89" t="s">
        <v>169</v>
      </c>
      <c r="C417" s="217">
        <f>C413</f>
        <v>36706.36</v>
      </c>
      <c r="D417" s="177">
        <f>+C416*D416/1000</f>
        <v>2.5491499999999997E-2</v>
      </c>
      <c r="E417" s="90">
        <f>C417*D417</f>
        <v>935.70017593999989</v>
      </c>
      <c r="F417" s="85"/>
      <c r="G417" s="85"/>
      <c r="I417" s="160"/>
      <c r="J417" s="160"/>
    </row>
    <row r="418" spans="1:10" ht="15" customHeight="1" x14ac:dyDescent="0.25">
      <c r="A418" s="55" t="s">
        <v>175</v>
      </c>
      <c r="B418" s="89" t="s">
        <v>171</v>
      </c>
      <c r="C418" s="89">
        <v>5</v>
      </c>
      <c r="D418" s="90">
        <v>16.88</v>
      </c>
      <c r="E418" s="90"/>
      <c r="F418" s="85"/>
      <c r="G418" s="85"/>
      <c r="I418" s="160"/>
      <c r="J418" s="160"/>
    </row>
    <row r="419" spans="1:10" ht="15" customHeight="1" x14ac:dyDescent="0.25">
      <c r="A419" s="55" t="s">
        <v>176</v>
      </c>
      <c r="B419" s="89" t="s">
        <v>169</v>
      </c>
      <c r="C419" s="217">
        <f>C413</f>
        <v>36706.36</v>
      </c>
      <c r="D419" s="177">
        <f>+C418*D418/1000</f>
        <v>8.4399999999999989E-2</v>
      </c>
      <c r="E419" s="90">
        <f>C419*D419</f>
        <v>3098.0167839999995</v>
      </c>
      <c r="F419" s="85"/>
      <c r="G419" s="85"/>
      <c r="I419" s="160"/>
      <c r="J419" s="160"/>
    </row>
    <row r="420" spans="1:10" ht="15" customHeight="1" x14ac:dyDescent="0.25">
      <c r="A420" s="55" t="s">
        <v>177</v>
      </c>
      <c r="B420" s="89" t="s">
        <v>178</v>
      </c>
      <c r="C420" s="178">
        <v>2</v>
      </c>
      <c r="D420" s="90">
        <v>5</v>
      </c>
      <c r="E420" s="90"/>
      <c r="F420" s="85"/>
      <c r="G420" s="85"/>
      <c r="I420" s="160"/>
      <c r="J420" s="160"/>
    </row>
    <row r="421" spans="1:10" ht="15" customHeight="1" x14ac:dyDescent="0.25">
      <c r="A421" s="55" t="s">
        <v>179</v>
      </c>
      <c r="B421" s="89" t="s">
        <v>169</v>
      </c>
      <c r="C421" s="217">
        <f>C413</f>
        <v>36706.36</v>
      </c>
      <c r="D421" s="177">
        <f>+C420*D420/1000</f>
        <v>0.01</v>
      </c>
      <c r="E421" s="90">
        <f>C421*D421</f>
        <v>367.06360000000001</v>
      </c>
      <c r="F421" s="85"/>
      <c r="G421" s="85"/>
      <c r="I421" s="160"/>
      <c r="J421" s="160"/>
    </row>
    <row r="422" spans="1:10" ht="15" customHeight="1" thickBot="1" x14ac:dyDescent="0.3">
      <c r="A422" s="99" t="s">
        <v>180</v>
      </c>
      <c r="B422" s="164" t="s">
        <v>181</v>
      </c>
      <c r="C422" s="179"/>
      <c r="D422" s="180">
        <f>IFERROR(D413+D415+D417+D419+D421,0)</f>
        <v>2.5368914999999994</v>
      </c>
      <c r="E422" s="90"/>
      <c r="F422" s="85"/>
      <c r="G422" s="85"/>
      <c r="I422" s="160"/>
      <c r="J422" s="160"/>
    </row>
    <row r="423" spans="1:10" ht="15" customHeight="1" thickBot="1" x14ac:dyDescent="0.3">
      <c r="D423" s="85"/>
      <c r="E423" s="85"/>
      <c r="F423" s="84">
        <f>SUM(E412:E421)</f>
        <v>93120.052679939981</v>
      </c>
      <c r="I423" s="160"/>
      <c r="J423" s="160"/>
    </row>
    <row r="424" spans="1:10" ht="11.25" customHeight="1" x14ac:dyDescent="0.25">
      <c r="I424" s="160"/>
      <c r="J424" s="160"/>
    </row>
    <row r="425" spans="1:10" ht="16.149999999999999" customHeight="1" thickBot="1" x14ac:dyDescent="0.3">
      <c r="A425" s="172" t="s">
        <v>182</v>
      </c>
      <c r="I425" s="160"/>
      <c r="J425" s="160"/>
    </row>
    <row r="426" spans="1:10" ht="15" customHeight="1" thickBot="1" x14ac:dyDescent="0.3">
      <c r="A426" s="64" t="s">
        <v>44</v>
      </c>
      <c r="B426" s="65" t="s">
        <v>45</v>
      </c>
      <c r="C426" s="65" t="s">
        <v>28</v>
      </c>
      <c r="D426" s="66" t="s">
        <v>46</v>
      </c>
      <c r="E426" s="66" t="s">
        <v>47</v>
      </c>
      <c r="F426" s="67" t="s">
        <v>48</v>
      </c>
      <c r="I426" s="160"/>
      <c r="J426" s="160"/>
    </row>
    <row r="427" spans="1:10" ht="15" customHeight="1" thickBot="1" x14ac:dyDescent="0.3">
      <c r="A427" s="86" t="s">
        <v>183</v>
      </c>
      <c r="B427" s="87" t="s">
        <v>181</v>
      </c>
      <c r="C427" s="218">
        <f>C413</f>
        <v>36706.36</v>
      </c>
      <c r="D427" s="88">
        <v>0.74</v>
      </c>
      <c r="E427" s="88">
        <f>C427*D427</f>
        <v>27162.706399999999</v>
      </c>
      <c r="F427" s="85"/>
      <c r="I427" s="160"/>
      <c r="J427" s="160"/>
    </row>
    <row r="428" spans="1:10" ht="15" customHeight="1" thickBot="1" x14ac:dyDescent="0.3">
      <c r="F428" s="155">
        <f>E427</f>
        <v>27162.706399999999</v>
      </c>
      <c r="I428" s="160"/>
      <c r="J428" s="160"/>
    </row>
    <row r="429" spans="1:10" ht="11.25" customHeight="1" x14ac:dyDescent="0.25">
      <c r="I429" s="160"/>
      <c r="J429" s="160"/>
    </row>
    <row r="430" spans="1:10" ht="11.25" customHeight="1" x14ac:dyDescent="0.25">
      <c r="I430" s="160"/>
      <c r="J430" s="160"/>
    </row>
    <row r="431" spans="1:10" ht="16.149999999999999" customHeight="1" thickBot="1" x14ac:dyDescent="0.3">
      <c r="A431" s="172" t="s">
        <v>184</v>
      </c>
      <c r="I431" s="160"/>
      <c r="J431" s="160"/>
    </row>
    <row r="432" spans="1:10" ht="15" customHeight="1" thickBot="1" x14ac:dyDescent="0.3">
      <c r="A432" s="64" t="s">
        <v>44</v>
      </c>
      <c r="B432" s="65" t="s">
        <v>45</v>
      </c>
      <c r="C432" s="65" t="s">
        <v>28</v>
      </c>
      <c r="D432" s="66" t="s">
        <v>46</v>
      </c>
      <c r="E432" s="66" t="s">
        <v>47</v>
      </c>
      <c r="F432" s="67" t="s">
        <v>48</v>
      </c>
      <c r="I432" s="160"/>
      <c r="J432" s="160"/>
    </row>
    <row r="433" spans="1:10" ht="15" customHeight="1" x14ac:dyDescent="0.25">
      <c r="A433" s="86" t="s">
        <v>185</v>
      </c>
      <c r="B433" s="87" t="s">
        <v>111</v>
      </c>
      <c r="C433" s="87">
        <v>6</v>
      </c>
      <c r="D433" s="88">
        <v>2124.1</v>
      </c>
      <c r="E433" s="88">
        <f>C433*D433</f>
        <v>12744.599999999999</v>
      </c>
      <c r="F433" s="85"/>
      <c r="I433" s="160"/>
      <c r="J433" s="160"/>
    </row>
    <row r="434" spans="1:10" ht="15" customHeight="1" x14ac:dyDescent="0.25">
      <c r="A434" s="86" t="s">
        <v>186</v>
      </c>
      <c r="B434" s="87" t="s">
        <v>111</v>
      </c>
      <c r="C434" s="87">
        <v>2</v>
      </c>
      <c r="D434" s="88"/>
      <c r="E434" s="88"/>
      <c r="F434" s="85"/>
      <c r="I434" s="160"/>
      <c r="J434" s="160"/>
    </row>
    <row r="435" spans="1:10" ht="15" customHeight="1" x14ac:dyDescent="0.25">
      <c r="A435" s="86" t="s">
        <v>187</v>
      </c>
      <c r="B435" s="87" t="s">
        <v>111</v>
      </c>
      <c r="C435" s="181">
        <f>C433*C434</f>
        <v>12</v>
      </c>
      <c r="D435" s="88">
        <v>407.16</v>
      </c>
      <c r="E435" s="88">
        <f>C435*D435</f>
        <v>4885.92</v>
      </c>
      <c r="F435" s="85"/>
      <c r="I435" s="160"/>
      <c r="J435" s="160"/>
    </row>
    <row r="436" spans="1:10" ht="15" customHeight="1" x14ac:dyDescent="0.25">
      <c r="A436" s="55" t="s">
        <v>188</v>
      </c>
      <c r="B436" s="89" t="s">
        <v>189</v>
      </c>
      <c r="C436" s="89">
        <v>70000</v>
      </c>
      <c r="D436" s="90">
        <f>E433+E435</f>
        <v>17630.519999999997</v>
      </c>
      <c r="E436" s="90">
        <f>IFERROR(D436/C436,"-")</f>
        <v>0.25186457142857138</v>
      </c>
      <c r="F436" s="85"/>
      <c r="I436" s="160"/>
      <c r="J436" s="160"/>
    </row>
    <row r="437" spans="1:10" ht="15" customHeight="1" thickBot="1" x14ac:dyDescent="0.3">
      <c r="A437" s="55" t="s">
        <v>190</v>
      </c>
      <c r="B437" s="89" t="s">
        <v>169</v>
      </c>
      <c r="C437" s="219">
        <f>B409</f>
        <v>36706.36</v>
      </c>
      <c r="D437" s="90">
        <f>E436</f>
        <v>0.25186457142857138</v>
      </c>
      <c r="E437" s="90">
        <f>IFERROR(C437*D437,0)</f>
        <v>9245.0316301028561</v>
      </c>
      <c r="F437" s="85"/>
      <c r="I437" s="160"/>
      <c r="J437" s="160"/>
    </row>
    <row r="438" spans="1:10" ht="15" customHeight="1" thickBot="1" x14ac:dyDescent="0.3">
      <c r="D438" s="85"/>
      <c r="E438" s="85"/>
      <c r="F438" s="84">
        <f>E437</f>
        <v>9245.0316301028561</v>
      </c>
      <c r="I438" s="160"/>
      <c r="J438" s="160"/>
    </row>
    <row r="439" spans="1:10" ht="11.25" customHeight="1" thickBot="1" x14ac:dyDescent="0.3">
      <c r="I439" s="160"/>
      <c r="J439" s="160"/>
    </row>
    <row r="440" spans="1:10" ht="16.149999999999999" customHeight="1" thickBot="1" x14ac:dyDescent="0.3">
      <c r="A440" s="142" t="s">
        <v>18</v>
      </c>
      <c r="I440" s="160"/>
      <c r="J440" s="160"/>
    </row>
    <row r="441" spans="1:10" ht="11.25" customHeight="1" x14ac:dyDescent="0.25">
      <c r="D441" s="38"/>
      <c r="E441" s="38"/>
      <c r="F441" s="38"/>
      <c r="I441" s="160"/>
      <c r="J441" s="160"/>
    </row>
    <row r="442" spans="1:10" ht="16.149999999999999" customHeight="1" thickBot="1" x14ac:dyDescent="0.3">
      <c r="A442" s="172" t="s">
        <v>19</v>
      </c>
      <c r="I442" s="160"/>
      <c r="J442" s="160"/>
    </row>
    <row r="443" spans="1:10" ht="15" customHeight="1" thickBot="1" x14ac:dyDescent="0.3">
      <c r="A443" s="64" t="s">
        <v>44</v>
      </c>
      <c r="B443" s="125" t="s">
        <v>45</v>
      </c>
      <c r="C443" s="125" t="s">
        <v>28</v>
      </c>
      <c r="D443" s="126" t="s">
        <v>46</v>
      </c>
      <c r="E443" s="126" t="s">
        <v>47</v>
      </c>
      <c r="F443" s="67" t="s">
        <v>48</v>
      </c>
      <c r="I443" s="160"/>
      <c r="J443" s="160"/>
    </row>
    <row r="444" spans="1:10" ht="15" customHeight="1" x14ac:dyDescent="0.25">
      <c r="A444" s="86" t="s">
        <v>135</v>
      </c>
      <c r="B444" s="89" t="s">
        <v>45</v>
      </c>
      <c r="C444" s="89">
        <v>1</v>
      </c>
      <c r="D444" s="41">
        <v>55877</v>
      </c>
      <c r="E444" s="41">
        <f>C444*D444</f>
        <v>55877</v>
      </c>
      <c r="F444" s="85"/>
      <c r="I444" s="160"/>
      <c r="J444" s="160"/>
    </row>
    <row r="445" spans="1:10" ht="15" customHeight="1" x14ac:dyDescent="0.25">
      <c r="A445" s="55" t="s">
        <v>136</v>
      </c>
      <c r="B445" s="89" t="s">
        <v>137</v>
      </c>
      <c r="C445" s="89">
        <v>10</v>
      </c>
      <c r="D445" s="41"/>
      <c r="E445" s="41"/>
      <c r="F445" s="85"/>
      <c r="I445" s="160"/>
      <c r="J445" s="160"/>
    </row>
    <row r="446" spans="1:10" ht="15" customHeight="1" x14ac:dyDescent="0.25">
      <c r="A446" s="55" t="s">
        <v>138</v>
      </c>
      <c r="B446" s="89" t="s">
        <v>137</v>
      </c>
      <c r="C446" s="89">
        <v>0</v>
      </c>
      <c r="D446" s="41"/>
      <c r="E446" s="41"/>
      <c r="F446" s="85"/>
      <c r="I446" s="160"/>
      <c r="J446" s="160"/>
    </row>
    <row r="447" spans="1:10" ht="15" customHeight="1" x14ac:dyDescent="0.25">
      <c r="A447" s="55" t="s">
        <v>139</v>
      </c>
      <c r="B447" s="89" t="s">
        <v>5</v>
      </c>
      <c r="C447" s="89">
        <v>65.180000000000007</v>
      </c>
      <c r="D447" s="41">
        <f>E444</f>
        <v>55877</v>
      </c>
      <c r="E447" s="41">
        <f>C447*D447/100</f>
        <v>36420.628600000004</v>
      </c>
      <c r="F447" s="85"/>
      <c r="I447" s="160"/>
      <c r="J447" s="160"/>
    </row>
    <row r="448" spans="1:10" ht="15" customHeight="1" x14ac:dyDescent="0.25">
      <c r="A448" s="92" t="s">
        <v>140</v>
      </c>
      <c r="B448" s="89" t="s">
        <v>50</v>
      </c>
      <c r="C448" s="89">
        <f>C445*12</f>
        <v>120</v>
      </c>
      <c r="D448" s="121">
        <f>IF(C446&lt;=C445,E447,0)</f>
        <v>36420.628600000004</v>
      </c>
      <c r="E448" s="41">
        <f>IFERROR(D448/C448,0)</f>
        <v>303.50523833333335</v>
      </c>
      <c r="F448" s="85"/>
      <c r="I448" s="160"/>
      <c r="J448" s="160"/>
    </row>
    <row r="449" spans="1:10" ht="15" customHeight="1" x14ac:dyDescent="0.25">
      <c r="A449" s="55" t="s">
        <v>191</v>
      </c>
      <c r="B449" s="55"/>
      <c r="C449" s="55"/>
      <c r="D449" s="41"/>
      <c r="E449" s="121">
        <f>E448</f>
        <v>303.50523833333335</v>
      </c>
      <c r="F449" s="85"/>
      <c r="I449" s="160"/>
      <c r="J449" s="160"/>
    </row>
    <row r="450" spans="1:10" ht="15" customHeight="1" thickBot="1" x14ac:dyDescent="0.3">
      <c r="A450" s="55" t="s">
        <v>192</v>
      </c>
      <c r="B450" s="89" t="s">
        <v>111</v>
      </c>
      <c r="C450" s="89">
        <v>2</v>
      </c>
      <c r="D450" s="41">
        <f>E449</f>
        <v>303.50523833333335</v>
      </c>
      <c r="E450" s="121">
        <f>C450*D450</f>
        <v>607.0104766666667</v>
      </c>
      <c r="F450" s="85"/>
      <c r="G450" s="38"/>
    </row>
    <row r="451" spans="1:10" ht="15" customHeight="1" thickBot="1" x14ac:dyDescent="0.3">
      <c r="D451" s="41" t="s">
        <v>193</v>
      </c>
      <c r="E451" s="97">
        <v>1</v>
      </c>
      <c r="F451" s="122">
        <f>E450*E451</f>
        <v>607.0104766666667</v>
      </c>
      <c r="G451" s="38"/>
    </row>
    <row r="452" spans="1:10" ht="11.25" customHeight="1" x14ac:dyDescent="0.25">
      <c r="D452" s="53"/>
      <c r="E452" s="53"/>
      <c r="G452" s="38"/>
    </row>
    <row r="453" spans="1:10" ht="16.149999999999999" customHeight="1" x14ac:dyDescent="0.25">
      <c r="A453" s="172" t="s">
        <v>194</v>
      </c>
      <c r="D453" s="53"/>
      <c r="E453" s="53"/>
      <c r="G453" s="38"/>
    </row>
    <row r="454" spans="1:10" ht="15" customHeight="1" x14ac:dyDescent="0.25">
      <c r="A454" s="182" t="s">
        <v>44</v>
      </c>
      <c r="B454" s="182" t="s">
        <v>45</v>
      </c>
      <c r="C454" s="182" t="s">
        <v>28</v>
      </c>
      <c r="D454" s="183" t="s">
        <v>46</v>
      </c>
      <c r="E454" s="183" t="s">
        <v>47</v>
      </c>
      <c r="F454" s="183" t="s">
        <v>48</v>
      </c>
      <c r="G454" s="38"/>
    </row>
    <row r="455" spans="1:10" ht="15" customHeight="1" x14ac:dyDescent="0.25">
      <c r="A455" s="86" t="s">
        <v>149</v>
      </c>
      <c r="B455" s="87" t="s">
        <v>111</v>
      </c>
      <c r="C455" s="87">
        <v>1</v>
      </c>
      <c r="D455" s="184">
        <f>+D444</f>
        <v>55877</v>
      </c>
      <c r="E455" s="184">
        <f>C455*D455</f>
        <v>55877</v>
      </c>
      <c r="F455" s="110"/>
      <c r="G455" s="38"/>
    </row>
    <row r="456" spans="1:10" ht="15" customHeight="1" x14ac:dyDescent="0.25">
      <c r="A456" s="55" t="s">
        <v>150</v>
      </c>
      <c r="B456" s="89" t="s">
        <v>5</v>
      </c>
      <c r="C456" s="89">
        <v>5.15</v>
      </c>
      <c r="D456" s="41"/>
      <c r="E456" s="41"/>
      <c r="F456" s="110"/>
      <c r="G456" s="221"/>
    </row>
    <row r="457" spans="1:10" ht="15" customHeight="1" x14ac:dyDescent="0.25">
      <c r="A457" s="55" t="s">
        <v>151</v>
      </c>
      <c r="B457" s="89" t="s">
        <v>55</v>
      </c>
      <c r="C457" s="110">
        <f>IFERROR(IF(C446&lt;=C445,E444-(C447/(100*C445)*C446)*E444,E444-E447),0)</f>
        <v>55877</v>
      </c>
      <c r="D457" s="41"/>
      <c r="E457" s="41"/>
      <c r="F457" s="85"/>
      <c r="G457" s="38"/>
    </row>
    <row r="458" spans="1:10" ht="15" customHeight="1" x14ac:dyDescent="0.25">
      <c r="A458" s="55" t="s">
        <v>152</v>
      </c>
      <c r="B458" s="89" t="s">
        <v>55</v>
      </c>
      <c r="C458" s="41">
        <f>IFERROR(IF(E446&gt;=E445,C457,((((C457)-(E444-E447))*(((C445-C446)+1)/(2*(C445-C446))))+(E444-E447))),0)</f>
        <v>55877</v>
      </c>
      <c r="D458" s="41"/>
      <c r="E458" s="41"/>
      <c r="F458" s="110"/>
      <c r="G458" s="38"/>
    </row>
    <row r="459" spans="1:10" ht="15" customHeight="1" x14ac:dyDescent="0.25">
      <c r="A459" s="92" t="s">
        <v>153</v>
      </c>
      <c r="B459" s="105" t="s">
        <v>55</v>
      </c>
      <c r="C459" s="104"/>
      <c r="D459" s="185">
        <f>C456*C458/12/100</f>
        <v>239.80545833333338</v>
      </c>
      <c r="E459" s="185">
        <f>D459</f>
        <v>239.80545833333338</v>
      </c>
      <c r="F459" s="110"/>
    </row>
    <row r="460" spans="1:10" ht="15" customHeight="1" x14ac:dyDescent="0.25">
      <c r="A460" s="55" t="s">
        <v>191</v>
      </c>
      <c r="B460" s="55"/>
      <c r="C460" s="55"/>
      <c r="D460" s="41"/>
      <c r="E460" s="121">
        <f>E459</f>
        <v>239.80545833333338</v>
      </c>
      <c r="F460" s="85"/>
      <c r="G460" s="38"/>
    </row>
    <row r="461" spans="1:10" ht="15" customHeight="1" thickBot="1" x14ac:dyDescent="0.3">
      <c r="A461" s="55" t="s">
        <v>192</v>
      </c>
      <c r="B461" s="89" t="s">
        <v>111</v>
      </c>
      <c r="C461" s="89">
        <v>2</v>
      </c>
      <c r="D461" s="41">
        <f>E460</f>
        <v>239.80545833333338</v>
      </c>
      <c r="E461" s="121">
        <f>C461*D461</f>
        <v>479.61091666666675</v>
      </c>
      <c r="F461" s="85"/>
      <c r="G461" s="38"/>
    </row>
    <row r="462" spans="1:10" ht="15" customHeight="1" thickBot="1" x14ac:dyDescent="0.3">
      <c r="B462" s="81"/>
      <c r="C462" s="81"/>
      <c r="D462" s="41" t="s">
        <v>193</v>
      </c>
      <c r="E462" s="186">
        <v>1</v>
      </c>
      <c r="F462" s="122">
        <f>E461*E462</f>
        <v>479.61091666666675</v>
      </c>
      <c r="G462" s="38"/>
    </row>
    <row r="463" spans="1:10" ht="11.25" customHeight="1" x14ac:dyDescent="0.25">
      <c r="B463" s="81"/>
      <c r="C463" s="81"/>
      <c r="D463" s="53"/>
      <c r="E463" s="60"/>
      <c r="F463" s="123"/>
      <c r="G463" s="38"/>
    </row>
    <row r="464" spans="1:10" ht="16.5" customHeight="1" x14ac:dyDescent="0.25">
      <c r="A464" s="172" t="s">
        <v>21</v>
      </c>
      <c r="D464" s="53"/>
      <c r="E464" s="53"/>
      <c r="G464" s="38"/>
    </row>
    <row r="465" spans="1:7" ht="15" customHeight="1" x14ac:dyDescent="0.25">
      <c r="A465" s="182" t="s">
        <v>44</v>
      </c>
      <c r="B465" s="182" t="s">
        <v>45</v>
      </c>
      <c r="C465" s="182" t="s">
        <v>28</v>
      </c>
      <c r="D465" s="183" t="s">
        <v>46</v>
      </c>
      <c r="E465" s="183" t="s">
        <v>47</v>
      </c>
      <c r="F465" s="183" t="s">
        <v>48</v>
      </c>
      <c r="G465" s="38"/>
    </row>
    <row r="466" spans="1:7" ht="15" customHeight="1" x14ac:dyDescent="0.25">
      <c r="A466" s="55" t="s">
        <v>159</v>
      </c>
      <c r="B466" s="89" t="s">
        <v>111</v>
      </c>
      <c r="C466" s="89">
        <v>2</v>
      </c>
      <c r="D466" s="41">
        <f>0.03*($E$444)</f>
        <v>1676.31</v>
      </c>
      <c r="E466" s="41">
        <f>C466*D466</f>
        <v>3352.62</v>
      </c>
      <c r="F466" s="85"/>
      <c r="G466" s="38"/>
    </row>
    <row r="467" spans="1:7" ht="15" customHeight="1" x14ac:dyDescent="0.25">
      <c r="A467" s="55" t="s">
        <v>160</v>
      </c>
      <c r="B467" s="89" t="s">
        <v>111</v>
      </c>
      <c r="C467" s="89">
        <v>2</v>
      </c>
      <c r="D467" s="41">
        <v>66.7</v>
      </c>
      <c r="E467" s="41">
        <f>C467*D467</f>
        <v>133.4</v>
      </c>
      <c r="F467" s="85"/>
      <c r="G467" s="38"/>
    </row>
    <row r="468" spans="1:7" ht="15" customHeight="1" x14ac:dyDescent="0.25">
      <c r="A468" s="55" t="s">
        <v>195</v>
      </c>
      <c r="B468" s="89" t="s">
        <v>111</v>
      </c>
      <c r="C468" s="89">
        <v>2</v>
      </c>
      <c r="D468" s="41">
        <v>748.98</v>
      </c>
      <c r="E468" s="41">
        <f>C468*D468</f>
        <v>1497.96</v>
      </c>
      <c r="F468" s="85"/>
      <c r="G468" s="38"/>
    </row>
    <row r="469" spans="1:7" ht="15" customHeight="1" thickBot="1" x14ac:dyDescent="0.3">
      <c r="A469" s="99" t="s">
        <v>162</v>
      </c>
      <c r="B469" s="89" t="s">
        <v>50</v>
      </c>
      <c r="C469" s="89">
        <v>12</v>
      </c>
      <c r="D469" s="121">
        <f>SUM(E466:E468)</f>
        <v>4983.9799999999996</v>
      </c>
      <c r="E469" s="41">
        <f>D469/C469</f>
        <v>415.33166666666665</v>
      </c>
      <c r="F469" s="85"/>
      <c r="G469" s="38"/>
    </row>
    <row r="470" spans="1:7" ht="15" customHeight="1" thickBot="1" x14ac:dyDescent="0.3">
      <c r="D470" s="41" t="s">
        <v>193</v>
      </c>
      <c r="E470" s="97">
        <v>1</v>
      </c>
      <c r="F470" s="122">
        <f>E469*E470</f>
        <v>415.33166666666665</v>
      </c>
      <c r="G470" s="38"/>
    </row>
    <row r="471" spans="1:7" ht="11.25" customHeight="1" thickBot="1" x14ac:dyDescent="0.3">
      <c r="D471" s="53"/>
      <c r="E471" s="53"/>
      <c r="F471" s="123"/>
      <c r="G471" s="38"/>
    </row>
    <row r="472" spans="1:7" ht="16.149999999999999" customHeight="1" thickBot="1" x14ac:dyDescent="0.3">
      <c r="A472" s="187" t="s">
        <v>22</v>
      </c>
      <c r="D472" s="53"/>
      <c r="E472" s="53"/>
      <c r="G472" s="38"/>
    </row>
    <row r="473" spans="1:7" ht="11.25" customHeight="1" x14ac:dyDescent="0.25">
      <c r="D473" s="53"/>
      <c r="E473" s="53"/>
      <c r="G473" s="38"/>
    </row>
    <row r="474" spans="1:7" ht="16.149999999999999" customHeight="1" x14ac:dyDescent="0.25">
      <c r="A474" s="188" t="s">
        <v>196</v>
      </c>
      <c r="B474" s="189">
        <v>5200</v>
      </c>
      <c r="D474" s="53"/>
      <c r="E474" s="53"/>
      <c r="G474" s="38"/>
    </row>
    <row r="475" spans="1:7" ht="11.25" customHeight="1" x14ac:dyDescent="0.25">
      <c r="D475" s="53"/>
      <c r="E475" s="53"/>
      <c r="G475" s="38"/>
    </row>
    <row r="476" spans="1:7" ht="15" customHeight="1" x14ac:dyDescent="0.25">
      <c r="A476" s="182" t="s">
        <v>44</v>
      </c>
      <c r="B476" s="182" t="s">
        <v>45</v>
      </c>
      <c r="C476" s="182" t="s">
        <v>165</v>
      </c>
      <c r="D476" s="183" t="s">
        <v>46</v>
      </c>
      <c r="E476" s="183" t="s">
        <v>47</v>
      </c>
      <c r="F476" s="183" t="s">
        <v>48</v>
      </c>
      <c r="G476" s="38"/>
    </row>
    <row r="477" spans="1:7" ht="15" customHeight="1" x14ac:dyDescent="0.25">
      <c r="A477" s="55" t="s">
        <v>197</v>
      </c>
      <c r="B477" s="89" t="s">
        <v>167</v>
      </c>
      <c r="C477" s="89">
        <v>12</v>
      </c>
      <c r="D477" s="223">
        <v>6.2990000000000004</v>
      </c>
      <c r="E477" s="41"/>
      <c r="F477" s="85"/>
      <c r="G477" s="222"/>
    </row>
    <row r="478" spans="1:7" ht="15" customHeight="1" x14ac:dyDescent="0.25">
      <c r="A478" s="55" t="s">
        <v>198</v>
      </c>
      <c r="B478" s="89" t="s">
        <v>169</v>
      </c>
      <c r="C478" s="178">
        <f>B474</f>
        <v>5200</v>
      </c>
      <c r="D478" s="90">
        <f>IFERROR(+D477/C477,"-")</f>
        <v>0.5249166666666667</v>
      </c>
      <c r="E478" s="41">
        <f>IFERROR(C478*D478,0)</f>
        <v>2729.5666666666666</v>
      </c>
      <c r="F478" s="85"/>
      <c r="G478" s="38"/>
    </row>
    <row r="479" spans="1:7" ht="15" customHeight="1" thickBot="1" x14ac:dyDescent="0.3">
      <c r="A479" s="99" t="s">
        <v>180</v>
      </c>
      <c r="B479" s="164" t="s">
        <v>181</v>
      </c>
      <c r="C479" s="55"/>
      <c r="D479" s="41"/>
      <c r="E479" s="41"/>
      <c r="F479" s="85"/>
      <c r="G479" s="38"/>
    </row>
    <row r="480" spans="1:7" ht="15" customHeight="1" thickBot="1" x14ac:dyDescent="0.3">
      <c r="D480" s="110"/>
      <c r="E480" s="110"/>
      <c r="F480" s="122">
        <f>E478</f>
        <v>2729.5666666666666</v>
      </c>
      <c r="G480" s="38"/>
    </row>
    <row r="481" spans="1:7" ht="11.25" customHeight="1" x14ac:dyDescent="0.25">
      <c r="D481" s="38"/>
      <c r="E481" s="38"/>
      <c r="F481" s="38"/>
      <c r="G481" s="38"/>
    </row>
    <row r="482" spans="1:7" ht="11.25" customHeight="1" x14ac:dyDescent="0.25">
      <c r="D482" s="38"/>
      <c r="E482" s="38"/>
      <c r="F482" s="38"/>
      <c r="G482" s="38"/>
    </row>
    <row r="483" spans="1:7" ht="16.149999999999999" customHeight="1" thickBot="1" x14ac:dyDescent="0.3">
      <c r="A483" s="172" t="s">
        <v>23</v>
      </c>
      <c r="D483" s="38"/>
      <c r="E483" s="38"/>
      <c r="F483" s="38"/>
      <c r="G483" s="38"/>
    </row>
    <row r="484" spans="1:7" ht="15" customHeight="1" x14ac:dyDescent="0.25">
      <c r="A484" s="124" t="s">
        <v>44</v>
      </c>
      <c r="B484" s="125" t="s">
        <v>45</v>
      </c>
      <c r="C484" s="125" t="s">
        <v>28</v>
      </c>
      <c r="D484" s="126" t="s">
        <v>46</v>
      </c>
      <c r="E484" s="126" t="s">
        <v>47</v>
      </c>
      <c r="F484" s="190" t="s">
        <v>48</v>
      </c>
      <c r="G484" s="38"/>
    </row>
    <row r="485" spans="1:7" ht="15" customHeight="1" thickBot="1" x14ac:dyDescent="0.3">
      <c r="A485" s="55" t="s">
        <v>199</v>
      </c>
      <c r="B485" s="89" t="s">
        <v>200</v>
      </c>
      <c r="C485" s="191">
        <f>B474</f>
        <v>5200</v>
      </c>
      <c r="D485" s="41">
        <v>0.35</v>
      </c>
      <c r="E485" s="41">
        <f>C485*D485</f>
        <v>1819.9999999999998</v>
      </c>
      <c r="F485" s="192"/>
      <c r="G485" s="38"/>
    </row>
    <row r="486" spans="1:7" ht="15" customHeight="1" thickBot="1" x14ac:dyDescent="0.3">
      <c r="D486" s="110"/>
      <c r="E486" s="110"/>
      <c r="F486" s="122">
        <f>E485</f>
        <v>1819.9999999999998</v>
      </c>
      <c r="G486" s="38"/>
    </row>
    <row r="487" spans="1:7" ht="11.25" customHeight="1" x14ac:dyDescent="0.25">
      <c r="D487" s="53"/>
      <c r="E487" s="53"/>
      <c r="G487" s="38"/>
    </row>
    <row r="488" spans="1:7" ht="11.25" customHeight="1" x14ac:dyDescent="0.25">
      <c r="D488" s="53"/>
      <c r="E488" s="53"/>
      <c r="G488" s="38"/>
    </row>
    <row r="489" spans="1:7" ht="16.149999999999999" customHeight="1" thickBot="1" x14ac:dyDescent="0.3">
      <c r="A489" s="172" t="s">
        <v>24</v>
      </c>
      <c r="D489" s="53"/>
      <c r="E489" s="53"/>
      <c r="G489" s="38"/>
    </row>
    <row r="490" spans="1:7" ht="15" customHeight="1" thickBot="1" x14ac:dyDescent="0.3">
      <c r="A490" s="64" t="s">
        <v>44</v>
      </c>
      <c r="B490" s="65" t="s">
        <v>45</v>
      </c>
      <c r="C490" s="125" t="s">
        <v>28</v>
      </c>
      <c r="D490" s="126" t="s">
        <v>46</v>
      </c>
      <c r="E490" s="126" t="s">
        <v>47</v>
      </c>
      <c r="F490" s="67" t="s">
        <v>48</v>
      </c>
      <c r="G490" s="38"/>
    </row>
    <row r="491" spans="1:7" ht="15" customHeight="1" x14ac:dyDescent="0.25">
      <c r="A491" s="86" t="s">
        <v>185</v>
      </c>
      <c r="B491" s="87" t="s">
        <v>111</v>
      </c>
      <c r="C491" s="89">
        <v>4</v>
      </c>
      <c r="D491" s="41">
        <v>276.89999999999998</v>
      </c>
      <c r="E491" s="41">
        <f>C491*D491</f>
        <v>1107.5999999999999</v>
      </c>
      <c r="F491" s="85"/>
      <c r="G491" s="38"/>
    </row>
    <row r="492" spans="1:7" ht="15.6" customHeight="1" x14ac:dyDescent="0.25">
      <c r="A492" s="86" t="s">
        <v>186</v>
      </c>
      <c r="B492" s="87" t="s">
        <v>111</v>
      </c>
      <c r="C492" s="89">
        <v>2</v>
      </c>
      <c r="D492" s="41"/>
      <c r="E492" s="41"/>
      <c r="F492" s="85"/>
      <c r="G492" s="38"/>
    </row>
    <row r="493" spans="1:7" ht="15" customHeight="1" x14ac:dyDescent="0.25">
      <c r="A493" s="86" t="s">
        <v>187</v>
      </c>
      <c r="B493" s="87" t="s">
        <v>111</v>
      </c>
      <c r="C493" s="89">
        <f>C491*C492</f>
        <v>8</v>
      </c>
      <c r="D493" s="41">
        <v>0</v>
      </c>
      <c r="E493" s="41">
        <f>C493*D493</f>
        <v>0</v>
      </c>
      <c r="F493" s="85"/>
      <c r="G493" s="38"/>
    </row>
    <row r="494" spans="1:7" ht="15" customHeight="1" x14ac:dyDescent="0.25">
      <c r="A494" s="55" t="s">
        <v>188</v>
      </c>
      <c r="B494" s="89" t="s">
        <v>189</v>
      </c>
      <c r="C494" s="178">
        <v>100000</v>
      </c>
      <c r="D494" s="41">
        <f>E491+E493</f>
        <v>1107.5999999999999</v>
      </c>
      <c r="E494" s="41">
        <f>IFERROR(D494/C494,"-")</f>
        <v>1.1075999999999999E-2</v>
      </c>
      <c r="F494" s="85"/>
      <c r="G494" s="38"/>
    </row>
    <row r="495" spans="1:7" ht="15" customHeight="1" thickBot="1" x14ac:dyDescent="0.3">
      <c r="A495" s="55" t="s">
        <v>190</v>
      </c>
      <c r="B495" s="89" t="s">
        <v>169</v>
      </c>
      <c r="C495" s="178">
        <f>B474</f>
        <v>5200</v>
      </c>
      <c r="D495" s="41">
        <f>E494</f>
        <v>1.1075999999999999E-2</v>
      </c>
      <c r="E495" s="41">
        <f>IFERROR(C495*D495,0)</f>
        <v>57.595199999999998</v>
      </c>
      <c r="F495" s="85"/>
      <c r="G495" s="38"/>
    </row>
    <row r="496" spans="1:7" ht="15" customHeight="1" thickBot="1" x14ac:dyDescent="0.3">
      <c r="B496" s="81"/>
      <c r="D496" s="110"/>
      <c r="E496" s="110"/>
      <c r="F496" s="122">
        <f>E495</f>
        <v>57.595199999999998</v>
      </c>
      <c r="G496" s="38"/>
    </row>
    <row r="497" spans="1:7" ht="11.25" customHeight="1" x14ac:dyDescent="0.25">
      <c r="B497" s="81"/>
      <c r="D497" s="53"/>
      <c r="E497" s="53"/>
      <c r="G497" s="38"/>
    </row>
    <row r="498" spans="1:7" ht="11.25" customHeight="1" thickBot="1" x14ac:dyDescent="0.3">
      <c r="D498" s="53"/>
      <c r="E498" s="53"/>
      <c r="G498" s="38"/>
    </row>
    <row r="499" spans="1:7" ht="15" customHeight="1" thickBot="1" x14ac:dyDescent="0.3">
      <c r="A499" s="135" t="s">
        <v>201</v>
      </c>
      <c r="B499" s="152"/>
      <c r="C499" s="136"/>
      <c r="D499" s="137"/>
      <c r="E499" s="137"/>
      <c r="F499" s="155">
        <f>+SUM(F370:F496)</f>
        <v>213274.07059004286</v>
      </c>
      <c r="G499" s="38"/>
    </row>
    <row r="500" spans="1:7" x14ac:dyDescent="0.25">
      <c r="B500" s="20"/>
      <c r="C500" s="20"/>
      <c r="D500" s="60"/>
      <c r="E500" s="60"/>
      <c r="F500" s="109"/>
      <c r="G500" s="38"/>
    </row>
    <row r="501" spans="1:7" ht="11.25" customHeight="1" x14ac:dyDescent="0.25">
      <c r="G501" s="38"/>
    </row>
    <row r="502" spans="1:7" ht="16.149999999999999" customHeight="1" thickBot="1" x14ac:dyDescent="0.3">
      <c r="A502" s="193" t="s">
        <v>202</v>
      </c>
      <c r="G502" s="38"/>
    </row>
    <row r="503" spans="1:7" ht="15" customHeight="1" thickBot="1" x14ac:dyDescent="0.3">
      <c r="A503" s="64" t="s">
        <v>44</v>
      </c>
      <c r="B503" s="65" t="s">
        <v>45</v>
      </c>
      <c r="C503" s="65" t="s">
        <v>28</v>
      </c>
      <c r="D503" s="66" t="s">
        <v>46</v>
      </c>
      <c r="E503" s="66" t="s">
        <v>47</v>
      </c>
      <c r="F503" s="67" t="s">
        <v>48</v>
      </c>
      <c r="G503" s="38"/>
    </row>
    <row r="504" spans="1:7" ht="15" customHeight="1" x14ac:dyDescent="0.25">
      <c r="A504" s="55" t="s">
        <v>203</v>
      </c>
      <c r="B504" s="89" t="s">
        <v>111</v>
      </c>
      <c r="C504" s="194">
        <v>3</v>
      </c>
      <c r="D504" s="184">
        <v>29.64</v>
      </c>
      <c r="E504" s="90">
        <f>C504*D504</f>
        <v>88.92</v>
      </c>
      <c r="F504" s="116"/>
      <c r="G504" s="38"/>
    </row>
    <row r="505" spans="1:7" ht="15" customHeight="1" x14ac:dyDescent="0.25">
      <c r="A505" s="55" t="s">
        <v>204</v>
      </c>
      <c r="B505" s="89" t="s">
        <v>111</v>
      </c>
      <c r="C505" s="194">
        <v>5</v>
      </c>
      <c r="D505" s="184">
        <v>20</v>
      </c>
      <c r="E505" s="90">
        <f t="shared" ref="E505:E508" si="6">C505*D505</f>
        <v>100</v>
      </c>
      <c r="F505" s="116"/>
      <c r="G505" s="38"/>
    </row>
    <row r="506" spans="1:7" ht="15" customHeight="1" x14ac:dyDescent="0.25">
      <c r="A506" s="55" t="s">
        <v>205</v>
      </c>
      <c r="B506" s="89" t="s">
        <v>111</v>
      </c>
      <c r="C506" s="194">
        <v>5</v>
      </c>
      <c r="D506" s="184">
        <v>25.87</v>
      </c>
      <c r="E506" s="90">
        <f t="shared" si="6"/>
        <v>129.35</v>
      </c>
      <c r="F506" s="116"/>
      <c r="G506" s="38"/>
    </row>
    <row r="507" spans="1:7" ht="15" customHeight="1" x14ac:dyDescent="0.25">
      <c r="A507" s="55" t="s">
        <v>206</v>
      </c>
      <c r="B507" s="89" t="s">
        <v>207</v>
      </c>
      <c r="C507" s="194">
        <v>1</v>
      </c>
      <c r="D507" s="184">
        <v>250</v>
      </c>
      <c r="E507" s="90">
        <f t="shared" si="6"/>
        <v>250</v>
      </c>
      <c r="F507" s="116"/>
      <c r="G507" s="38"/>
    </row>
    <row r="508" spans="1:7" ht="15" customHeight="1" thickBot="1" x14ac:dyDescent="0.3">
      <c r="A508" s="55" t="s">
        <v>208</v>
      </c>
      <c r="B508" s="89" t="s">
        <v>207</v>
      </c>
      <c r="C508" s="194">
        <v>1</v>
      </c>
      <c r="D508" s="184">
        <v>30</v>
      </c>
      <c r="E508" s="90">
        <f t="shared" si="6"/>
        <v>30</v>
      </c>
      <c r="F508" s="116"/>
      <c r="G508" s="38"/>
    </row>
    <row r="509" spans="1:7" ht="15" customHeight="1" thickBot="1" x14ac:dyDescent="0.3">
      <c r="B509" s="20"/>
      <c r="C509" s="20"/>
      <c r="D509" s="20"/>
      <c r="E509" s="123"/>
      <c r="F509" s="84">
        <f>SUM(E504:E508)</f>
        <v>598.27</v>
      </c>
      <c r="G509" s="38"/>
    </row>
    <row r="510" spans="1:7" ht="11.25" customHeight="1" thickBot="1" x14ac:dyDescent="0.3">
      <c r="A510" s="20"/>
      <c r="G510" s="38"/>
    </row>
    <row r="511" spans="1:7" ht="16.149999999999999" customHeight="1" thickBot="1" x14ac:dyDescent="0.3">
      <c r="A511" s="135" t="s">
        <v>209</v>
      </c>
      <c r="B511" s="136"/>
      <c r="C511" s="136"/>
      <c r="D511" s="58"/>
      <c r="E511" s="138"/>
      <c r="F511" s="155">
        <f>+F509</f>
        <v>598.27</v>
      </c>
      <c r="G511" s="38"/>
    </row>
    <row r="512" spans="1:7" ht="11.25" customHeight="1" x14ac:dyDescent="0.25">
      <c r="D512" s="123"/>
      <c r="E512" s="123"/>
      <c r="F512" s="109"/>
      <c r="G512" s="38"/>
    </row>
    <row r="513" spans="1:7" x14ac:dyDescent="0.25">
      <c r="B513" s="20"/>
      <c r="C513" s="20"/>
      <c r="D513" s="60"/>
      <c r="E513" s="60"/>
      <c r="F513" s="109"/>
    </row>
    <row r="514" spans="1:7" ht="16.149999999999999" customHeight="1" thickBot="1" x14ac:dyDescent="0.3">
      <c r="A514" s="193" t="s">
        <v>210</v>
      </c>
    </row>
    <row r="515" spans="1:7" ht="15" customHeight="1" thickBot="1" x14ac:dyDescent="0.3">
      <c r="A515" s="64" t="s">
        <v>44</v>
      </c>
      <c r="B515" s="65" t="s">
        <v>45</v>
      </c>
      <c r="C515" s="65" t="s">
        <v>28</v>
      </c>
      <c r="D515" s="66" t="s">
        <v>46</v>
      </c>
      <c r="E515" s="66" t="s">
        <v>47</v>
      </c>
      <c r="F515" s="67" t="s">
        <v>48</v>
      </c>
    </row>
    <row r="516" spans="1:7" ht="15" customHeight="1" x14ac:dyDescent="0.25">
      <c r="A516" s="55" t="s">
        <v>211</v>
      </c>
      <c r="B516" s="195" t="s">
        <v>207</v>
      </c>
      <c r="C516" s="149">
        <v>12</v>
      </c>
      <c r="D516" s="90">
        <v>100</v>
      </c>
      <c r="E516" s="90">
        <f>+D516*C516</f>
        <v>1200</v>
      </c>
      <c r="F516" s="116"/>
    </row>
    <row r="517" spans="1:7" ht="15" customHeight="1" x14ac:dyDescent="0.25">
      <c r="A517" s="55" t="s">
        <v>212</v>
      </c>
      <c r="B517" s="195" t="s">
        <v>50</v>
      </c>
      <c r="C517" s="89">
        <v>60</v>
      </c>
      <c r="D517" s="90">
        <f>+E516</f>
        <v>1200</v>
      </c>
      <c r="E517" s="90">
        <f>+D517/C517</f>
        <v>20</v>
      </c>
      <c r="F517" s="116"/>
    </row>
    <row r="518" spans="1:7" ht="15" customHeight="1" x14ac:dyDescent="0.25">
      <c r="A518" s="55" t="s">
        <v>213</v>
      </c>
      <c r="B518" s="89" t="s">
        <v>111</v>
      </c>
      <c r="C518" s="149">
        <f>+C516</f>
        <v>12</v>
      </c>
      <c r="D518" s="90">
        <v>74</v>
      </c>
      <c r="E518" s="90">
        <f>C518*D518</f>
        <v>888</v>
      </c>
      <c r="F518" s="116"/>
    </row>
    <row r="519" spans="1:7" ht="15" customHeight="1" thickBot="1" x14ac:dyDescent="0.3">
      <c r="A519" s="55" t="s">
        <v>214</v>
      </c>
      <c r="B519" s="195" t="s">
        <v>50</v>
      </c>
      <c r="C519" s="89">
        <v>1</v>
      </c>
      <c r="D519" s="90">
        <f>+E518</f>
        <v>888</v>
      </c>
      <c r="E519" s="90">
        <f>+D519/C519</f>
        <v>888</v>
      </c>
      <c r="F519" s="116"/>
    </row>
    <row r="520" spans="1:7" ht="15" customHeight="1" thickBot="1" x14ac:dyDescent="0.3">
      <c r="B520" s="98"/>
      <c r="C520" s="98"/>
      <c r="D520" s="107" t="s">
        <v>193</v>
      </c>
      <c r="E520" s="97">
        <v>1</v>
      </c>
      <c r="F520" s="196">
        <f>(E517+E519)*E520</f>
        <v>908</v>
      </c>
    </row>
    <row r="521" spans="1:7" s="198" customFormat="1" ht="11.25" customHeight="1" thickBot="1" x14ac:dyDescent="0.3">
      <c r="A521" s="98"/>
      <c r="B521" s="38"/>
      <c r="C521" s="38"/>
      <c r="D521" s="39"/>
      <c r="E521" s="39"/>
      <c r="F521" s="39"/>
      <c r="G521" s="197"/>
    </row>
    <row r="522" spans="1:7" ht="15" customHeight="1" thickBot="1" x14ac:dyDescent="0.3">
      <c r="A522" s="135" t="s">
        <v>215</v>
      </c>
      <c r="B522" s="199"/>
      <c r="C522" s="136"/>
      <c r="D522" s="137"/>
      <c r="E522" s="138"/>
      <c r="F522" s="155">
        <f>+F520</f>
        <v>908</v>
      </c>
    </row>
    <row r="523" spans="1:7" ht="11.25" customHeight="1" thickBot="1" x14ac:dyDescent="0.3"/>
    <row r="524" spans="1:7" ht="17.25" customHeight="1" thickBot="1" x14ac:dyDescent="0.3">
      <c r="A524" s="140" t="s">
        <v>216</v>
      </c>
      <c r="B524" s="142"/>
      <c r="C524" s="152"/>
      <c r="D524" s="153"/>
      <c r="E524" s="154"/>
      <c r="F524" s="200">
        <f>+F326+F361+F499+F511+F522</f>
        <v>618753.35347193072</v>
      </c>
    </row>
    <row r="525" spans="1:7" ht="11.25" customHeight="1" x14ac:dyDescent="0.25"/>
    <row r="527" spans="1:7" ht="16.149999999999999" customHeight="1" thickBot="1" x14ac:dyDescent="0.3">
      <c r="A527" s="20" t="s">
        <v>217</v>
      </c>
    </row>
    <row r="528" spans="1:7" ht="15" customHeight="1" thickBot="1" x14ac:dyDescent="0.3">
      <c r="A528" s="64" t="s">
        <v>44</v>
      </c>
      <c r="B528" s="65" t="s">
        <v>45</v>
      </c>
      <c r="C528" s="65" t="s">
        <v>28</v>
      </c>
      <c r="D528" s="66" t="s">
        <v>46</v>
      </c>
      <c r="E528" s="66" t="s">
        <v>47</v>
      </c>
      <c r="F528" s="67" t="s">
        <v>48</v>
      </c>
    </row>
    <row r="529" spans="1:8" ht="15" customHeight="1" thickBot="1" x14ac:dyDescent="0.3">
      <c r="A529" s="86" t="s">
        <v>218</v>
      </c>
      <c r="B529" s="87" t="s">
        <v>5</v>
      </c>
      <c r="C529" s="90">
        <v>28.18</v>
      </c>
      <c r="D529" s="88">
        <f>+F524</f>
        <v>618753.35347193072</v>
      </c>
      <c r="E529" s="88">
        <f>C529*D529/100</f>
        <v>174364.69500839006</v>
      </c>
      <c r="F529" s="85"/>
    </row>
    <row r="530" spans="1:8" ht="15" customHeight="1" thickBot="1" x14ac:dyDescent="0.3">
      <c r="D530" s="85"/>
      <c r="E530" s="85"/>
      <c r="F530" s="84">
        <f>+E529</f>
        <v>174364.69500839006</v>
      </c>
    </row>
    <row r="531" spans="1:8" ht="11.25" customHeight="1" thickBot="1" x14ac:dyDescent="0.3"/>
    <row r="532" spans="1:8" ht="16.149999999999999" customHeight="1" thickBot="1" x14ac:dyDescent="0.3">
      <c r="A532" s="135" t="s">
        <v>219</v>
      </c>
      <c r="B532" s="152"/>
      <c r="C532" s="152"/>
      <c r="D532" s="153"/>
      <c r="E532" s="154"/>
      <c r="F532" s="200">
        <f>F530</f>
        <v>174364.69500839006</v>
      </c>
    </row>
    <row r="533" spans="1:8" x14ac:dyDescent="0.25">
      <c r="B533" s="20"/>
      <c r="C533" s="20"/>
      <c r="D533" s="60"/>
      <c r="E533" s="60"/>
      <c r="F533" s="109"/>
    </row>
    <row r="534" spans="1:8" ht="11.25" customHeight="1" thickBot="1" x14ac:dyDescent="0.3">
      <c r="A534" s="20"/>
    </row>
    <row r="535" spans="1:8" ht="24.75" customHeight="1" thickBot="1" x14ac:dyDescent="0.3">
      <c r="A535" s="135" t="s">
        <v>220</v>
      </c>
      <c r="B535" s="152"/>
      <c r="C535" s="152"/>
      <c r="D535" s="153"/>
      <c r="E535" s="154"/>
      <c r="F535" s="200">
        <f>F524+F532</f>
        <v>793118.04848032072</v>
      </c>
    </row>
    <row r="536" spans="1:8" ht="12.6" customHeight="1" x14ac:dyDescent="0.25">
      <c r="B536" s="201"/>
      <c r="C536" s="201"/>
      <c r="D536" s="202"/>
      <c r="E536" s="202"/>
      <c r="F536" s="202"/>
    </row>
    <row r="537" spans="1:8" ht="16.5" thickBot="1" x14ac:dyDescent="0.3">
      <c r="A537" s="201"/>
      <c r="B537" s="2"/>
      <c r="C537" s="2"/>
      <c r="D537" s="1"/>
      <c r="E537" s="1"/>
    </row>
    <row r="538" spans="1:8" ht="16.149999999999999" customHeight="1" thickBot="1" x14ac:dyDescent="0.3">
      <c r="A538" s="203" t="s">
        <v>221</v>
      </c>
      <c r="B538" s="152"/>
      <c r="C538" s="152"/>
      <c r="D538" s="204">
        <v>4290</v>
      </c>
      <c r="E538" s="154" t="s">
        <v>222</v>
      </c>
      <c r="H538" s="160"/>
    </row>
    <row r="539" spans="1:8" ht="13.5" thickBot="1" x14ac:dyDescent="0.3">
      <c r="H539" s="160"/>
    </row>
    <row r="540" spans="1:8" ht="25.5" customHeight="1" thickBot="1" x14ac:dyDescent="0.3">
      <c r="A540" s="135" t="s">
        <v>223</v>
      </c>
      <c r="B540" s="136"/>
      <c r="C540" s="136"/>
      <c r="D540" s="137"/>
      <c r="E540" s="205" t="s">
        <v>224</v>
      </c>
      <c r="F540" s="206">
        <f>IFERROR(F535/D538,"-")</f>
        <v>184.87600197676474</v>
      </c>
    </row>
    <row r="541" spans="1:8" ht="12.6" customHeight="1" x14ac:dyDescent="0.25">
      <c r="B541" s="20"/>
      <c r="C541" s="20"/>
      <c r="D541" s="60"/>
      <c r="E541" s="60"/>
      <c r="F541" s="60"/>
    </row>
    <row r="542" spans="1:8" s="8" customFormat="1" ht="9.75" customHeight="1" x14ac:dyDescent="0.25">
      <c r="A542" s="20"/>
      <c r="B542" s="39"/>
      <c r="C542" s="39"/>
      <c r="D542" s="39"/>
      <c r="E542" s="39"/>
      <c r="F542" s="39"/>
      <c r="G542" s="7"/>
    </row>
    <row r="543" spans="1:8" s="8" customFormat="1" ht="9.75" customHeight="1" x14ac:dyDescent="0.25">
      <c r="A543" s="207"/>
      <c r="B543" s="39"/>
      <c r="C543" s="39"/>
      <c r="D543" s="39"/>
      <c r="E543" s="39"/>
      <c r="F543" s="39"/>
      <c r="G543" s="7"/>
    </row>
    <row r="544" spans="1:8" s="8" customFormat="1" ht="9.75" customHeight="1" x14ac:dyDescent="0.25">
      <c r="A544" s="207"/>
      <c r="B544" s="39"/>
      <c r="C544" s="39"/>
      <c r="D544" s="39"/>
      <c r="E544" s="39"/>
      <c r="F544" s="39"/>
      <c r="G544" s="7"/>
    </row>
    <row r="545" spans="1:1" ht="15.75" x14ac:dyDescent="0.25">
      <c r="A545" s="207"/>
    </row>
    <row r="574" s="38" customFormat="1" ht="9" customHeight="1" x14ac:dyDescent="0.25"/>
  </sheetData>
  <mergeCells count="7">
    <mergeCell ref="A63:D63"/>
    <mergeCell ref="A1:F1"/>
    <mergeCell ref="A2:F2"/>
    <mergeCell ref="A4:F4"/>
    <mergeCell ref="A23:C23"/>
    <mergeCell ref="A45:E45"/>
    <mergeCell ref="A46:D4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ALTERADA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Usuário</cp:lastModifiedBy>
  <dcterms:created xsi:type="dcterms:W3CDTF">2021-08-14T00:30:27Z</dcterms:created>
  <dcterms:modified xsi:type="dcterms:W3CDTF">2021-09-26T21:33:10Z</dcterms:modified>
</cp:coreProperties>
</file>